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19320" windowHeight="12270" activeTab="0"/>
  </bookViews>
  <sheets>
    <sheet name="comm" sheetId="1" r:id="rId1"/>
    <sheet name="reke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<sst xmlns="http://schemas.openxmlformats.org/spreadsheetml/2006/main" count="207" uniqueCount="89">
  <si>
    <t>instap</t>
  </si>
  <si>
    <t>uitstap</t>
  </si>
  <si>
    <t>bezett</t>
  </si>
  <si>
    <t>nummer</t>
  </si>
  <si>
    <t>halte</t>
  </si>
  <si>
    <t>op 1e halte</t>
  </si>
  <si>
    <t>1e halte =</t>
  </si>
  <si>
    <t>capacit.=</t>
  </si>
  <si>
    <t>instap-</t>
  </si>
  <si>
    <t>tijd a</t>
  </si>
  <si>
    <t>aankomst</t>
  </si>
  <si>
    <t>drgl</t>
  </si>
  <si>
    <t>Reiz/halt/u</t>
  </si>
  <si>
    <t>interval'</t>
  </si>
  <si>
    <t>halten</t>
  </si>
  <si>
    <t>freq</t>
  </si>
  <si>
    <t>init. verst</t>
  </si>
  <si>
    <t>delta</t>
  </si>
  <si>
    <t>blijft</t>
  </si>
  <si>
    <t>achter</t>
  </si>
  <si>
    <t>reizigers/uur</t>
  </si>
  <si>
    <t>aantal halten</t>
  </si>
  <si>
    <t>voertuigcapaciteit</t>
  </si>
  <si>
    <t>interval (minuten)</t>
  </si>
  <si>
    <r>
      <t>haltenummer</t>
    </r>
    <r>
      <rPr>
        <sz val="10"/>
        <rFont val="Arial"/>
        <family val="2"/>
      </rPr>
      <t>▼▼</t>
    </r>
  </si>
  <si>
    <r>
      <t xml:space="preserve">voertuignr.    </t>
    </r>
    <r>
      <rPr>
        <sz val="10"/>
        <rFont val="Arial"/>
        <family val="2"/>
      </rPr>
      <t>▼▼</t>
    </r>
  </si>
  <si>
    <t>aank drgl</t>
  </si>
  <si>
    <t>aank echt</t>
  </si>
  <si>
    <t>bezett %</t>
  </si>
  <si>
    <t>instap/reiz</t>
  </si>
  <si>
    <t>geweigerd</t>
  </si>
  <si>
    <t>voertuignr  ►►</t>
  </si>
  <si>
    <t>invullen:</t>
  </si>
  <si>
    <t>Nadere verklaring:</t>
  </si>
  <si>
    <t>aank drgl:</t>
  </si>
  <si>
    <t>aank echt:</t>
  </si>
  <si>
    <t>aankomst volgens dienstregeling (seconden)</t>
  </si>
  <si>
    <t>aankomst in werkelijkheid (seconden)</t>
  </si>
  <si>
    <t>bezett %:</t>
  </si>
  <si>
    <t>bezettingsgraad van het voertuig, in %</t>
  </si>
  <si>
    <t>instap/reiz:</t>
  </si>
  <si>
    <t>instaptijd per reiziger, in seconden</t>
  </si>
  <si>
    <t>geweigerd:</t>
  </si>
  <si>
    <t>passagiers die niet meekonden</t>
  </si>
  <si>
    <t>init. verst:</t>
  </si>
  <si>
    <t>delta:</t>
  </si>
  <si>
    <t>verhouding (v(i)+interval) / interval. Dit is een maat voor de ernst van de verstoring</t>
  </si>
  <si>
    <t>(deze waarde niet zelf invullen!)</t>
  </si>
  <si>
    <t>(thans nog vast ingesteld op 10)</t>
  </si>
  <si>
    <t xml:space="preserve">bestede </t>
  </si>
  <si>
    <t>tijd</t>
  </si>
  <si>
    <t>Geaggregeerde uitkomsten</t>
  </si>
  <si>
    <t>Werkelijk gerealiseerde reistijden:</t>
  </si>
  <si>
    <t>voertuig 1</t>
  </si>
  <si>
    <t>voertuig 2</t>
  </si>
  <si>
    <t>voertuig 3</t>
  </si>
  <si>
    <t>voertuig 4</t>
  </si>
  <si>
    <t>voertuigen</t>
  </si>
  <si>
    <t>totaal</t>
  </si>
  <si>
    <t>% totaal</t>
  </si>
  <si>
    <t>halte-</t>
  </si>
  <si>
    <t>wachten</t>
  </si>
  <si>
    <r>
      <t xml:space="preserve">Totale </t>
    </r>
    <r>
      <rPr>
        <b/>
        <i/>
        <sz val="10"/>
        <rFont val="Arial"/>
        <family val="2"/>
      </rPr>
      <t>reistijd</t>
    </r>
    <r>
      <rPr>
        <sz val="10"/>
        <rFont val="Arial"/>
        <family val="0"/>
      </rPr>
      <t xml:space="preserve"> per voertuigrit minimaal (volkomen regelmaat) is:</t>
    </r>
  </si>
  <si>
    <r>
      <t>Totale halte</t>
    </r>
    <r>
      <rPr>
        <b/>
        <i/>
        <sz val="10"/>
        <rFont val="Arial"/>
        <family val="2"/>
      </rPr>
      <t>wachttijd</t>
    </r>
    <r>
      <rPr>
        <sz val="10"/>
        <rFont val="Arial"/>
        <family val="0"/>
      </rPr>
      <t xml:space="preserve"> per voertuigrit minimaal</t>
    </r>
    <r>
      <rPr>
        <sz val="8"/>
        <rFont val="Arial"/>
        <family val="2"/>
      </rPr>
      <t xml:space="preserve"> (volkomen regelmaat)</t>
    </r>
    <r>
      <rPr>
        <sz val="10"/>
        <rFont val="Arial"/>
        <family val="0"/>
      </rPr>
      <t xml:space="preserve"> is</t>
    </r>
  </si>
  <si>
    <t>Werkelijk gerealiseerde wachttijden</t>
  </si>
  <si>
    <t>staande</t>
  </si>
  <si>
    <t>reizigers</t>
  </si>
  <si>
    <t xml:space="preserve">zitpl </t>
  </si>
  <si>
    <r>
      <t xml:space="preserve">Gemidd. aantal </t>
    </r>
    <r>
      <rPr>
        <b/>
        <i/>
        <sz val="10"/>
        <rFont val="Arial"/>
        <family val="2"/>
      </rPr>
      <t>staande reizigers</t>
    </r>
    <r>
      <rPr>
        <sz val="10"/>
        <rFont val="Arial"/>
        <family val="0"/>
      </rPr>
      <t xml:space="preserve"> minimaal</t>
    </r>
    <r>
      <rPr>
        <sz val="8"/>
        <rFont val="Arial"/>
        <family val="2"/>
      </rPr>
      <t xml:space="preserve"> (bij volkomen regelmaat) </t>
    </r>
    <r>
      <rPr>
        <sz val="10"/>
        <rFont val="Arial"/>
        <family val="0"/>
      </rPr>
      <t>is</t>
    </r>
  </si>
  <si>
    <t>% zitpl.:</t>
  </si>
  <si>
    <t>Werkelijk gerealiseerd aantal staande reiz.</t>
  </si>
  <si>
    <t xml:space="preserve">  </t>
  </si>
  <si>
    <t>% voert.</t>
  </si>
  <si>
    <t>voertuigen:</t>
  </si>
  <si>
    <t>totaal:</t>
  </si>
  <si>
    <t>voor alle voertuigen samen het aantal verbruikte seconden, c.q. gemiddeld aantal staande reizigers</t>
  </si>
  <si>
    <t>% voert.:</t>
  </si>
  <si>
    <t>reistijd, wachttijd en staande reizigers per voertuig, uitgedrukt als % van de waarde bij regelmaat</t>
  </si>
  <si>
    <t>% totaal:</t>
  </si>
  <si>
    <t>idem, maar dan voor alle voertuigen samengenomen</t>
  </si>
  <si>
    <t>aantal verbruikte seconden, c.q. het gemiddeld aantal staande reizigers, voor elk voertuig afzonderlijk</t>
  </si>
  <si>
    <t>geel vak</t>
  </si>
  <si>
    <t>invulvak; getallen invullen om het model uit te proberen</t>
  </si>
  <si>
    <r>
      <t>initiële verstoring v</t>
    </r>
    <r>
      <rPr>
        <sz val="8"/>
        <rFont val="Arial"/>
        <family val="2"/>
      </rPr>
      <t>(i)</t>
    </r>
    <r>
      <rPr>
        <sz val="10"/>
        <rFont val="Arial"/>
        <family val="0"/>
      </rPr>
      <t xml:space="preserve">: éénmalige vertraging of vervroeging, in seconden (uitproberen door </t>
    </r>
    <r>
      <rPr>
        <b/>
        <sz val="10"/>
        <rFont val="Arial"/>
        <family val="2"/>
      </rPr>
      <t>zelf invullen</t>
    </r>
    <r>
      <rPr>
        <sz val="10"/>
        <rFont val="Arial"/>
        <family val="0"/>
      </rPr>
      <t>)</t>
    </r>
  </si>
  <si>
    <t>uur is. De waarde f wordt vastgesteld door het aantal reizigers P dat per uur op het drukste punt van de lijn moet</t>
  </si>
  <si>
    <t>worden vervoerd, te delen door de capaciteit c van 1 voertuig, dus f = P/c. In dit model geldt daarom dat de waarde in</t>
  </si>
  <si>
    <r>
      <t xml:space="preserve">(zie </t>
    </r>
    <r>
      <rPr>
        <b/>
        <i/>
        <sz val="10"/>
        <rFont val="Arial"/>
        <family val="2"/>
      </rPr>
      <t>opmerking B</t>
    </r>
    <r>
      <rPr>
        <sz val="10"/>
        <rFont val="Arial"/>
        <family val="0"/>
      </rPr>
      <t xml:space="preserve"> hiernaast)</t>
    </r>
  </si>
  <si>
    <t>veld B2 (reiz/uur) maal het interval in veld B3 niet &gt;600 mag zijn, dus B2*B3 NIET &gt;600.</t>
  </si>
  <si>
    <r>
      <t>Opmerking B</t>
    </r>
    <r>
      <rPr>
        <sz val="10"/>
        <rFont val="Arial"/>
        <family val="0"/>
      </rPr>
      <t>: In OV-systemen wordt het interval</t>
    </r>
    <r>
      <rPr>
        <sz val="10"/>
        <rFont val="Times New Roman"/>
        <family val="1"/>
      </rPr>
      <t xml:space="preserve"> I</t>
    </r>
    <r>
      <rPr>
        <sz val="10"/>
        <rFont val="Arial"/>
        <family val="0"/>
      </rPr>
      <t xml:space="preserve"> in minuten bepaald door </t>
    </r>
    <r>
      <rPr>
        <sz val="10"/>
        <rFont val="Times New Roman"/>
        <family val="1"/>
      </rPr>
      <t>I</t>
    </r>
    <r>
      <rPr>
        <sz val="10"/>
        <rFont val="Arial"/>
        <family val="0"/>
      </rPr>
      <t xml:space="preserve"> = 60/f waarbij f het aantal voertuigen per</t>
    </r>
  </si>
</sst>
</file>

<file path=xl/styles.xml><?xml version="1.0" encoding="utf-8"?>
<styleSheet xmlns="http://schemas.openxmlformats.org/spreadsheetml/2006/main">
  <numFmts count="13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"/>
    <numFmt numFmtId="165" formatCode="0.00000"/>
    <numFmt numFmtId="166" formatCode="0.000000"/>
    <numFmt numFmtId="167" formatCode="0.0000"/>
    <numFmt numFmtId="168" formatCode="0.00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2" borderId="2" xfId="0" applyFill="1" applyBorder="1" applyAlignment="1">
      <alignment/>
    </xf>
    <xf numFmtId="0" fontId="1" fillId="2" borderId="3" xfId="0" applyFont="1" applyFill="1" applyBorder="1" applyAlignment="1">
      <alignment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1" fillId="0" borderId="0" xfId="0" applyFont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1" fontId="0" fillId="0" borderId="0" xfId="0" applyNumberFormat="1" applyAlignment="1">
      <alignment/>
    </xf>
    <xf numFmtId="0" fontId="0" fillId="3" borderId="0" xfId="0" applyFill="1" applyAlignment="1">
      <alignment/>
    </xf>
    <xf numFmtId="0" fontId="0" fillId="0" borderId="4" xfId="0" applyBorder="1" applyAlignment="1">
      <alignment/>
    </xf>
    <xf numFmtId="0" fontId="0" fillId="4" borderId="5" xfId="0" applyFill="1" applyBorder="1" applyAlignment="1">
      <alignment/>
    </xf>
    <xf numFmtId="0" fontId="0" fillId="0" borderId="5" xfId="0" applyBorder="1" applyAlignment="1">
      <alignment/>
    </xf>
    <xf numFmtId="164" fontId="0" fillId="4" borderId="6" xfId="0" applyNumberFormat="1" applyFill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7" xfId="0" applyBorder="1" applyAlignment="1">
      <alignment/>
    </xf>
    <xf numFmtId="0" fontId="0" fillId="3" borderId="8" xfId="0" applyFill="1" applyBorder="1" applyAlignment="1">
      <alignment/>
    </xf>
    <xf numFmtId="0" fontId="0" fillId="0" borderId="9" xfId="0" applyBorder="1" applyAlignment="1">
      <alignment/>
    </xf>
    <xf numFmtId="0" fontId="0" fillId="3" borderId="10" xfId="0" applyFill="1" applyBorder="1" applyAlignment="1">
      <alignment/>
    </xf>
    <xf numFmtId="0" fontId="0" fillId="0" borderId="11" xfId="0" applyBorder="1" applyAlignment="1">
      <alignment/>
    </xf>
    <xf numFmtId="0" fontId="0" fillId="3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" fontId="0" fillId="0" borderId="19" xfId="0" applyNumberFormat="1" applyBorder="1" applyAlignment="1">
      <alignment/>
    </xf>
    <xf numFmtId="164" fontId="0" fillId="0" borderId="19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0" borderId="20" xfId="0" applyBorder="1" applyAlignment="1">
      <alignment/>
    </xf>
    <xf numFmtId="1" fontId="0" fillId="0" borderId="20" xfId="0" applyNumberFormat="1" applyBorder="1" applyAlignment="1">
      <alignment/>
    </xf>
    <xf numFmtId="164" fontId="0" fillId="0" borderId="20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8" xfId="0" applyNumberFormat="1" applyBorder="1" applyAlignment="1">
      <alignment/>
    </xf>
    <xf numFmtId="164" fontId="0" fillId="0" borderId="18" xfId="0" applyNumberFormat="1" applyBorder="1" applyAlignment="1">
      <alignment/>
    </xf>
    <xf numFmtId="1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2" fontId="0" fillId="0" borderId="6" xfId="0" applyNumberFormat="1" applyFill="1" applyBorder="1" applyAlignment="1">
      <alignment/>
    </xf>
    <xf numFmtId="0" fontId="2" fillId="5" borderId="13" xfId="0" applyFont="1" applyFill="1" applyBorder="1" applyAlignment="1">
      <alignment/>
    </xf>
    <xf numFmtId="0" fontId="0" fillId="5" borderId="14" xfId="0" applyFill="1" applyBorder="1" applyAlignment="1">
      <alignment/>
    </xf>
    <xf numFmtId="0" fontId="0" fillId="5" borderId="15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16" xfId="0" applyFill="1" applyBorder="1" applyAlignment="1">
      <alignment/>
    </xf>
    <xf numFmtId="0" fontId="0" fillId="5" borderId="25" xfId="0" applyFill="1" applyBorder="1" applyAlignment="1">
      <alignment/>
    </xf>
    <xf numFmtId="0" fontId="0" fillId="5" borderId="3" xfId="0" applyFill="1" applyBorder="1" applyAlignment="1">
      <alignment/>
    </xf>
    <xf numFmtId="0" fontId="2" fillId="5" borderId="26" xfId="0" applyFont="1" applyFill="1" applyBorder="1" applyAlignment="1">
      <alignment/>
    </xf>
    <xf numFmtId="0" fontId="2" fillId="5" borderId="27" xfId="0" applyFont="1" applyFill="1" applyBorder="1" applyAlignment="1">
      <alignment/>
    </xf>
    <xf numFmtId="0" fontId="2" fillId="4" borderId="26" xfId="0" applyFont="1" applyFill="1" applyBorder="1" applyAlignment="1">
      <alignment/>
    </xf>
    <xf numFmtId="0" fontId="0" fillId="6" borderId="10" xfId="0" applyFill="1" applyBorder="1" applyAlignment="1">
      <alignment/>
    </xf>
    <xf numFmtId="0" fontId="0" fillId="0" borderId="0" xfId="0" applyFont="1" applyBorder="1" applyAlignment="1">
      <alignment/>
    </xf>
    <xf numFmtId="0" fontId="0" fillId="3" borderId="24" xfId="0" applyFill="1" applyBorder="1" applyAlignment="1">
      <alignment/>
    </xf>
    <xf numFmtId="0" fontId="0" fillId="7" borderId="1" xfId="0" applyFill="1" applyBorder="1" applyAlignment="1">
      <alignment/>
    </xf>
    <xf numFmtId="0" fontId="0" fillId="7" borderId="0" xfId="0" applyFill="1" applyBorder="1" applyAlignment="1">
      <alignment/>
    </xf>
    <xf numFmtId="1" fontId="0" fillId="7" borderId="0" xfId="0" applyNumberFormat="1" applyFill="1" applyBorder="1" applyAlignment="1">
      <alignment/>
    </xf>
    <xf numFmtId="164" fontId="0" fillId="7" borderId="0" xfId="0" applyNumberFormat="1" applyFill="1" applyBorder="1" applyAlignment="1">
      <alignment/>
    </xf>
    <xf numFmtId="0" fontId="0" fillId="7" borderId="16" xfId="0" applyFill="1" applyBorder="1" applyAlignment="1">
      <alignment/>
    </xf>
    <xf numFmtId="1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2" fontId="0" fillId="7" borderId="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25" xfId="0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8" borderId="1" xfId="0" applyFill="1" applyBorder="1" applyAlignment="1">
      <alignment/>
    </xf>
    <xf numFmtId="0" fontId="0" fillId="8" borderId="0" xfId="0" applyFill="1" applyBorder="1" applyAlignment="1">
      <alignment/>
    </xf>
    <xf numFmtId="1" fontId="0" fillId="0" borderId="5" xfId="0" applyNumberFormat="1" applyBorder="1" applyAlignment="1">
      <alignment/>
    </xf>
    <xf numFmtId="164" fontId="0" fillId="0" borderId="6" xfId="0" applyNumberFormat="1" applyBorder="1" applyAlignment="1">
      <alignment/>
    </xf>
    <xf numFmtId="0" fontId="0" fillId="8" borderId="0" xfId="0" applyFill="1" applyBorder="1" applyAlignment="1">
      <alignment horizontal="center"/>
    </xf>
    <xf numFmtId="0" fontId="0" fillId="8" borderId="16" xfId="0" applyFill="1" applyBorder="1" applyAlignment="1">
      <alignment horizontal="center"/>
    </xf>
    <xf numFmtId="0" fontId="0" fillId="3" borderId="26" xfId="0" applyFill="1" applyBorder="1" applyAlignment="1">
      <alignment/>
    </xf>
    <xf numFmtId="0" fontId="0" fillId="9" borderId="0" xfId="0" applyFill="1" applyAlignment="1">
      <alignment/>
    </xf>
    <xf numFmtId="0" fontId="4" fillId="9" borderId="13" xfId="0" applyFont="1" applyFill="1" applyBorder="1" applyAlignment="1">
      <alignment/>
    </xf>
    <xf numFmtId="0" fontId="0" fillId="9" borderId="14" xfId="0" applyFill="1" applyBorder="1" applyAlignment="1">
      <alignment/>
    </xf>
    <xf numFmtId="0" fontId="0" fillId="9" borderId="15" xfId="0" applyFill="1" applyBorder="1" applyAlignment="1">
      <alignment/>
    </xf>
    <xf numFmtId="0" fontId="0" fillId="9" borderId="1" xfId="0" applyFill="1" applyBorder="1" applyAlignment="1">
      <alignment/>
    </xf>
    <xf numFmtId="0" fontId="0" fillId="9" borderId="0" xfId="0" applyFill="1" applyBorder="1" applyAlignment="1">
      <alignment/>
    </xf>
    <xf numFmtId="0" fontId="0" fillId="9" borderId="16" xfId="0" applyFill="1" applyBorder="1" applyAlignment="1">
      <alignment/>
    </xf>
    <xf numFmtId="0" fontId="0" fillId="9" borderId="2" xfId="0" applyFill="1" applyBorder="1" applyAlignment="1">
      <alignment/>
    </xf>
    <xf numFmtId="0" fontId="0" fillId="9" borderId="25" xfId="0" applyFill="1" applyBorder="1" applyAlignment="1">
      <alignment/>
    </xf>
    <xf numFmtId="0" fontId="0" fillId="9" borderId="3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6"/>
  <sheetViews>
    <sheetView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15.140625" style="0" customWidth="1"/>
    <col min="2" max="2" width="9.00390625" style="0" customWidth="1"/>
    <col min="3" max="3" width="8.8515625" style="0" customWidth="1"/>
    <col min="4" max="4" width="8.421875" style="0" customWidth="1"/>
    <col min="8" max="8" width="11.00390625" style="0" customWidth="1"/>
    <col min="14" max="14" width="10.28125" style="0" customWidth="1"/>
    <col min="15" max="15" width="9.57421875" style="0" bestFit="1" customWidth="1"/>
    <col min="17" max="17" width="17.7109375" style="0" customWidth="1"/>
  </cols>
  <sheetData>
    <row r="1" spans="1:17" ht="17.25" thickBot="1" thickTop="1">
      <c r="A1" s="22" t="s">
        <v>32</v>
      </c>
      <c r="G1" t="s">
        <v>71</v>
      </c>
      <c r="H1" s="51" t="s">
        <v>33</v>
      </c>
      <c r="I1" s="52"/>
      <c r="J1" s="52"/>
      <c r="K1" s="52"/>
      <c r="L1" s="52"/>
      <c r="M1" s="52"/>
      <c r="N1" s="52"/>
      <c r="O1" s="52"/>
      <c r="P1" s="52"/>
      <c r="Q1" s="53"/>
    </row>
    <row r="2" spans="1:17" ht="14.25" thickBot="1" thickTop="1">
      <c r="A2" s="23" t="s">
        <v>20</v>
      </c>
      <c r="B2" s="24">
        <v>120</v>
      </c>
      <c r="D2" s="47" t="s">
        <v>69</v>
      </c>
      <c r="E2" s="64">
        <v>50</v>
      </c>
      <c r="H2" s="54"/>
      <c r="I2" s="55"/>
      <c r="J2" s="55"/>
      <c r="K2" s="55"/>
      <c r="L2" s="55"/>
      <c r="M2" s="55"/>
      <c r="N2" s="55"/>
      <c r="O2" s="55"/>
      <c r="P2" s="55"/>
      <c r="Q2" s="56"/>
    </row>
    <row r="3" spans="1:17" ht="13.5" thickTop="1">
      <c r="A3" s="25" t="s">
        <v>23</v>
      </c>
      <c r="B3" s="26">
        <v>5</v>
      </c>
      <c r="C3" s="85" t="s">
        <v>86</v>
      </c>
      <c r="D3" s="85"/>
      <c r="E3" s="85"/>
      <c r="H3" s="84" t="s">
        <v>81</v>
      </c>
      <c r="I3" t="s">
        <v>82</v>
      </c>
      <c r="J3" s="55"/>
      <c r="K3" s="55"/>
      <c r="L3" s="55"/>
      <c r="M3" s="55"/>
      <c r="N3" s="55"/>
      <c r="O3" s="55"/>
      <c r="P3" s="55"/>
      <c r="Q3" s="56"/>
    </row>
    <row r="4" spans="1:17" ht="12.75">
      <c r="A4" s="25" t="s">
        <v>21</v>
      </c>
      <c r="B4" s="62">
        <v>10</v>
      </c>
      <c r="C4" t="s">
        <v>48</v>
      </c>
      <c r="H4" s="59" t="s">
        <v>34</v>
      </c>
      <c r="I4" s="55" t="s">
        <v>36</v>
      </c>
      <c r="J4" s="55"/>
      <c r="K4" s="55"/>
      <c r="L4" s="55"/>
      <c r="M4" s="55"/>
      <c r="N4" s="55"/>
      <c r="O4" s="55"/>
      <c r="P4" s="55"/>
      <c r="Q4" s="56"/>
    </row>
    <row r="5" spans="1:17" ht="13.5" thickBot="1">
      <c r="A5" s="27" t="s">
        <v>22</v>
      </c>
      <c r="B5" s="28">
        <v>70</v>
      </c>
      <c r="H5" s="59" t="s">
        <v>35</v>
      </c>
      <c r="I5" s="55" t="s">
        <v>37</v>
      </c>
      <c r="J5" s="55"/>
      <c r="K5" s="55"/>
      <c r="L5" s="55"/>
      <c r="M5" s="55"/>
      <c r="N5" s="55"/>
      <c r="O5" s="55"/>
      <c r="P5" s="55"/>
      <c r="Q5" s="56"/>
    </row>
    <row r="6" spans="8:17" ht="14.25" thickBot="1" thickTop="1">
      <c r="H6" s="59" t="s">
        <v>38</v>
      </c>
      <c r="I6" s="55" t="s">
        <v>39</v>
      </c>
      <c r="J6" s="55"/>
      <c r="K6" s="55"/>
      <c r="L6" s="55"/>
      <c r="M6" s="55"/>
      <c r="N6" s="55"/>
      <c r="O6" s="55"/>
      <c r="P6" s="55"/>
      <c r="Q6" s="56"/>
    </row>
    <row r="7" spans="1:17" ht="13.5" thickTop="1">
      <c r="A7" s="29" t="s">
        <v>25</v>
      </c>
      <c r="B7" s="30"/>
      <c r="C7" s="30"/>
      <c r="D7" s="30"/>
      <c r="E7" s="30"/>
      <c r="F7" s="31"/>
      <c r="H7" s="59" t="s">
        <v>40</v>
      </c>
      <c r="I7" s="55" t="s">
        <v>41</v>
      </c>
      <c r="J7" s="55"/>
      <c r="K7" s="55"/>
      <c r="L7" s="55"/>
      <c r="M7" s="55"/>
      <c r="N7" s="55"/>
      <c r="O7" s="55"/>
      <c r="P7" s="55"/>
      <c r="Q7" s="56"/>
    </row>
    <row r="8" spans="1:17" ht="13.5" thickBot="1">
      <c r="A8" s="5">
        <v>0</v>
      </c>
      <c r="B8" s="32"/>
      <c r="C8" s="32"/>
      <c r="D8" s="32"/>
      <c r="E8" s="32"/>
      <c r="F8" s="33"/>
      <c r="H8" s="59" t="s">
        <v>42</v>
      </c>
      <c r="I8" s="55" t="s">
        <v>43</v>
      </c>
      <c r="J8" s="55"/>
      <c r="K8" s="55"/>
      <c r="L8" s="55"/>
      <c r="M8" s="55"/>
      <c r="N8" s="55"/>
      <c r="O8" s="55"/>
      <c r="P8" s="55"/>
      <c r="Q8" s="56"/>
    </row>
    <row r="9" spans="1:17" ht="14.25" thickBot="1" thickTop="1">
      <c r="A9" s="47" t="s">
        <v>24</v>
      </c>
      <c r="B9" s="48" t="s">
        <v>26</v>
      </c>
      <c r="C9" s="48" t="s">
        <v>27</v>
      </c>
      <c r="D9" s="48" t="s">
        <v>28</v>
      </c>
      <c r="E9" s="48" t="s">
        <v>29</v>
      </c>
      <c r="F9" s="49" t="s">
        <v>30</v>
      </c>
      <c r="H9" s="59"/>
      <c r="I9" s="55"/>
      <c r="J9" s="55"/>
      <c r="K9" s="55"/>
      <c r="L9" s="55"/>
      <c r="M9" s="55"/>
      <c r="N9" s="55"/>
      <c r="O9" s="55"/>
      <c r="P9" s="55"/>
      <c r="Q9" s="56"/>
    </row>
    <row r="10" spans="1:17" ht="13.5" thickTop="1">
      <c r="A10" s="34">
        <v>0</v>
      </c>
      <c r="B10" s="35">
        <f>reken!B5</f>
        <v>0</v>
      </c>
      <c r="C10" s="44">
        <f>reken!C5</f>
        <v>0</v>
      </c>
      <c r="D10" s="45">
        <f>100*(reken!F5/$B$5)</f>
        <v>28.57142857142857</v>
      </c>
      <c r="E10" s="45">
        <f>reken!G5</f>
        <v>1.8</v>
      </c>
      <c r="F10" s="46">
        <f>reken!H5</f>
        <v>0</v>
      </c>
      <c r="H10" s="61" t="s">
        <v>44</v>
      </c>
      <c r="I10" s="55" t="s">
        <v>83</v>
      </c>
      <c r="J10" s="55"/>
      <c r="K10" s="55"/>
      <c r="L10" s="55"/>
      <c r="M10" s="55"/>
      <c r="N10" s="55"/>
      <c r="O10" s="55"/>
      <c r="P10" s="55"/>
      <c r="Q10" s="56"/>
    </row>
    <row r="11" spans="1:17" ht="12.75">
      <c r="A11" s="25">
        <v>1</v>
      </c>
      <c r="B11" s="36">
        <f>reken!B6</f>
        <v>96</v>
      </c>
      <c r="C11" s="37">
        <f>reken!C6</f>
        <v>96</v>
      </c>
      <c r="D11" s="38">
        <f>100*(reken!F6/$B$5)</f>
        <v>51.42857142857142</v>
      </c>
      <c r="E11" s="38">
        <f>reken!G6</f>
        <v>1.964705882352941</v>
      </c>
      <c r="F11" s="39">
        <f>reken!H6</f>
        <v>0</v>
      </c>
      <c r="H11" s="59" t="s">
        <v>45</v>
      </c>
      <c r="I11" s="55" t="s">
        <v>46</v>
      </c>
      <c r="J11" s="55"/>
      <c r="K11" s="55"/>
      <c r="L11" s="55"/>
      <c r="M11" s="55"/>
      <c r="N11" s="55"/>
      <c r="O11" s="55"/>
      <c r="P11" s="55"/>
      <c r="Q11" s="56"/>
    </row>
    <row r="12" spans="1:17" ht="13.5" thickBot="1">
      <c r="A12" s="25">
        <f>A11+1</f>
        <v>2</v>
      </c>
      <c r="B12" s="36">
        <f>reken!B7</f>
        <v>191</v>
      </c>
      <c r="C12" s="37">
        <f>reken!C7</f>
        <v>191.36470588235295</v>
      </c>
      <c r="D12" s="38">
        <f>100*(reken!F7/$B$5)</f>
        <v>64</v>
      </c>
      <c r="E12" s="38">
        <f>reken!G7</f>
        <v>2.1444444444444444</v>
      </c>
      <c r="F12" s="39">
        <f>reken!H7</f>
        <v>0</v>
      </c>
      <c r="H12" s="60"/>
      <c r="I12" s="57" t="s">
        <v>47</v>
      </c>
      <c r="J12" s="57"/>
      <c r="K12" s="57"/>
      <c r="L12" s="57"/>
      <c r="M12" s="57"/>
      <c r="N12" s="57"/>
      <c r="O12" s="57"/>
      <c r="P12" s="57"/>
      <c r="Q12" s="58"/>
    </row>
    <row r="13" spans="1:17" ht="13.5" thickTop="1">
      <c r="A13" s="25">
        <f aca="true" t="shared" si="0" ref="A13:A20">A12+1</f>
        <v>3</v>
      </c>
      <c r="B13" s="36">
        <f>reken!B8</f>
        <v>284</v>
      </c>
      <c r="C13" s="37">
        <f>reken!C8</f>
        <v>285.6758169934641</v>
      </c>
      <c r="D13" s="38">
        <f>100*(reken!F8/$B$5)</f>
        <v>64.8</v>
      </c>
      <c r="E13" s="38">
        <f>reken!G8</f>
        <v>2.1602272727272727</v>
      </c>
      <c r="F13" s="39">
        <f>reken!H8</f>
        <v>0</v>
      </c>
      <c r="H13" s="86" t="s">
        <v>88</v>
      </c>
      <c r="I13" s="87"/>
      <c r="J13" s="87"/>
      <c r="K13" s="87"/>
      <c r="L13" s="87"/>
      <c r="M13" s="87"/>
      <c r="N13" s="87"/>
      <c r="O13" s="87"/>
      <c r="P13" s="87"/>
      <c r="Q13" s="88"/>
    </row>
    <row r="14" spans="1:17" ht="12.75">
      <c r="A14" s="25">
        <f t="shared" si="0"/>
        <v>4</v>
      </c>
      <c r="B14" s="36">
        <f>reken!B9</f>
        <v>373</v>
      </c>
      <c r="C14" s="37">
        <f>reken!C9</f>
        <v>375.9189988116459</v>
      </c>
      <c r="D14" s="38">
        <f>100*(reken!F9/$B$5)</f>
        <v>56.02285714285713</v>
      </c>
      <c r="E14" s="38">
        <f>reken!G9</f>
        <v>2.0184771309771308</v>
      </c>
      <c r="F14" s="39">
        <f>reken!H9</f>
        <v>0</v>
      </c>
      <c r="H14" s="89" t="s">
        <v>84</v>
      </c>
      <c r="I14" s="90"/>
      <c r="J14" s="90"/>
      <c r="K14" s="90"/>
      <c r="L14" s="90"/>
      <c r="M14" s="90"/>
      <c r="N14" s="90"/>
      <c r="O14" s="90"/>
      <c r="P14" s="90"/>
      <c r="Q14" s="91"/>
    </row>
    <row r="15" spans="1:17" ht="12.75">
      <c r="A15" s="25">
        <f t="shared" si="0"/>
        <v>5</v>
      </c>
      <c r="B15" s="36">
        <f>reken!B10</f>
        <v>457</v>
      </c>
      <c r="C15" s="37">
        <f>reken!C10</f>
        <v>460.1407243833715</v>
      </c>
      <c r="D15" s="38">
        <f>100*(reken!F10/$B$5)</f>
        <v>42.29714285714286</v>
      </c>
      <c r="E15" s="38">
        <f>reken!G10</f>
        <v>1.883254109724698</v>
      </c>
      <c r="F15" s="39">
        <f>reken!H10</f>
        <v>0</v>
      </c>
      <c r="H15" s="89" t="s">
        <v>85</v>
      </c>
      <c r="I15" s="90"/>
      <c r="J15" s="90"/>
      <c r="K15" s="90"/>
      <c r="L15" s="90"/>
      <c r="M15" s="90"/>
      <c r="N15" s="90"/>
      <c r="O15" s="90"/>
      <c r="P15" s="90"/>
      <c r="Q15" s="91"/>
    </row>
    <row r="16" spans="1:17" ht="13.5" thickBot="1">
      <c r="A16" s="25">
        <f t="shared" si="0"/>
        <v>6</v>
      </c>
      <c r="B16" s="36">
        <f>reken!B11</f>
        <v>535</v>
      </c>
      <c r="C16" s="37">
        <f>reken!C11</f>
        <v>538.9732654806185</v>
      </c>
      <c r="D16" s="38">
        <f>100*(reken!F11/$B$5)</f>
        <v>28.347428571428573</v>
      </c>
      <c r="E16" s="38">
        <f>reken!G11</f>
        <v>1.7989058313130024</v>
      </c>
      <c r="F16" s="39">
        <f>reken!H11</f>
        <v>0</v>
      </c>
      <c r="H16" s="92" t="s">
        <v>87</v>
      </c>
      <c r="I16" s="93"/>
      <c r="J16" s="93"/>
      <c r="K16" s="93"/>
      <c r="L16" s="93"/>
      <c r="M16" s="93"/>
      <c r="N16" s="93"/>
      <c r="O16" s="93"/>
      <c r="P16" s="93"/>
      <c r="Q16" s="94"/>
    </row>
    <row r="17" spans="1:6" ht="14.25" thickBot="1" thickTop="1">
      <c r="A17" s="25">
        <f t="shared" si="0"/>
        <v>7</v>
      </c>
      <c r="B17" s="36">
        <f>reken!B12</f>
        <v>610</v>
      </c>
      <c r="C17" s="37">
        <f>reken!C12</f>
        <v>613.3645121311225</v>
      </c>
      <c r="D17" s="38">
        <f>100*(reken!F12/$B$5)</f>
        <v>17.075657142857146</v>
      </c>
      <c r="E17" s="38">
        <f>reken!G12</f>
        <v>1.7514796275572364</v>
      </c>
      <c r="F17" s="39">
        <f>reken!H12</f>
        <v>0</v>
      </c>
    </row>
    <row r="18" spans="1:17" ht="14.25" thickBot="1" thickTop="1">
      <c r="A18" s="25">
        <f t="shared" si="0"/>
        <v>8</v>
      </c>
      <c r="B18" s="36">
        <f>reken!B13</f>
        <v>680</v>
      </c>
      <c r="C18" s="37">
        <f>reken!C13</f>
        <v>683.8733898964659</v>
      </c>
      <c r="D18" s="38">
        <f>100*(reken!F13/$B$5)</f>
        <v>9.129417142857141</v>
      </c>
      <c r="E18" s="38">
        <f>reken!G13</f>
        <v>1.725116536220554</v>
      </c>
      <c r="F18" s="39">
        <f>reken!H13</f>
        <v>0</v>
      </c>
      <c r="H18" s="75" t="s">
        <v>51</v>
      </c>
      <c r="I18" s="19"/>
      <c r="J18" s="19"/>
      <c r="K18" s="19"/>
      <c r="L18" s="19"/>
      <c r="M18" s="19"/>
      <c r="N18" s="76" t="s">
        <v>57</v>
      </c>
      <c r="O18" s="76" t="s">
        <v>58</v>
      </c>
      <c r="P18" s="76" t="s">
        <v>72</v>
      </c>
      <c r="Q18" s="77" t="s">
        <v>59</v>
      </c>
    </row>
    <row r="19" spans="1:17" ht="13.5" thickTop="1">
      <c r="A19" s="25">
        <f t="shared" si="0"/>
        <v>9</v>
      </c>
      <c r="B19" s="36">
        <f>reken!B14</f>
        <v>747</v>
      </c>
      <c r="C19" s="37">
        <f>reken!C14</f>
        <v>750.7738560413482</v>
      </c>
      <c r="D19" s="38">
        <f>100*(reken!F14/$B$5)</f>
        <v>3.770084571428572</v>
      </c>
      <c r="E19" s="38">
        <f>reken!G14</f>
        <v>1.7097944712791184</v>
      </c>
      <c r="F19" s="39">
        <f>reken!H14</f>
        <v>0</v>
      </c>
      <c r="H19" s="65" t="s">
        <v>62</v>
      </c>
      <c r="I19" s="66"/>
      <c r="J19" s="66"/>
      <c r="K19" s="66"/>
      <c r="L19" s="66"/>
      <c r="M19" s="66"/>
      <c r="N19" s="67">
        <f>reken!I16</f>
        <v>22222.462798153443</v>
      </c>
      <c r="O19" s="67">
        <f>4*N19</f>
        <v>88889.85119261377</v>
      </c>
      <c r="P19" s="68">
        <f>100*(N19/N$19)</f>
        <v>100</v>
      </c>
      <c r="Q19" s="69"/>
    </row>
    <row r="20" spans="1:17" ht="13.5" thickBot="1">
      <c r="A20" s="27">
        <f t="shared" si="0"/>
        <v>10</v>
      </c>
      <c r="B20" s="40">
        <f>reken!B15</f>
        <v>810</v>
      </c>
      <c r="C20" s="41">
        <f>reken!C15</f>
        <v>814.1934449839064</v>
      </c>
      <c r="D20" s="42">
        <f>100*(reken!F15/$B$5)</f>
        <v>0</v>
      </c>
      <c r="E20" s="42">
        <f>reken!G15</f>
        <v>1.7</v>
      </c>
      <c r="F20" s="43">
        <f>reken!H15</f>
        <v>0</v>
      </c>
      <c r="H20" s="5" t="s">
        <v>52</v>
      </c>
      <c r="I20" s="32"/>
      <c r="J20" s="32"/>
      <c r="K20" s="32"/>
      <c r="L20" s="5" t="s">
        <v>53</v>
      </c>
      <c r="M20" s="32"/>
      <c r="N20" s="70">
        <f>reken!I30</f>
        <v>44437.52159949826</v>
      </c>
      <c r="O20" s="32"/>
      <c r="P20" s="71">
        <f>100*(N20/N$19)</f>
        <v>199.96668237505503</v>
      </c>
      <c r="Q20" s="33"/>
    </row>
    <row r="21" spans="8:17" ht="14.25" thickBot="1" thickTop="1">
      <c r="H21" s="5"/>
      <c r="I21" s="32"/>
      <c r="J21" s="32"/>
      <c r="K21" s="32"/>
      <c r="L21" s="5" t="s">
        <v>54</v>
      </c>
      <c r="M21" s="32"/>
      <c r="N21" s="70">
        <f>reken!I44</f>
        <v>9466.676125274162</v>
      </c>
      <c r="O21" s="32"/>
      <c r="P21" s="71">
        <f>100*(N21/N$19)</f>
        <v>42.59958138420548</v>
      </c>
      <c r="Q21" s="33"/>
    </row>
    <row r="22" spans="1:17" ht="14.25" thickBot="1" thickTop="1">
      <c r="A22" s="21" t="s">
        <v>31</v>
      </c>
      <c r="B22" s="10">
        <f>A8+1</f>
        <v>1</v>
      </c>
      <c r="C22" s="17" t="s">
        <v>16</v>
      </c>
      <c r="D22" s="18">
        <v>90</v>
      </c>
      <c r="E22" s="19" t="s">
        <v>17</v>
      </c>
      <c r="F22" s="50">
        <f>((60*$B$3)+(D22))/(60*$B$3)</f>
        <v>1.3</v>
      </c>
      <c r="H22" s="5"/>
      <c r="I22" s="32"/>
      <c r="J22" s="32"/>
      <c r="K22" s="32"/>
      <c r="L22" s="5" t="s">
        <v>55</v>
      </c>
      <c r="M22" s="32"/>
      <c r="N22" s="70">
        <f>reken!I58</f>
        <v>25252.62635022014</v>
      </c>
      <c r="O22" s="32"/>
      <c r="P22" s="71">
        <f>100*(N22/N$19)</f>
        <v>113.63558836655352</v>
      </c>
      <c r="Q22" s="33"/>
    </row>
    <row r="23" spans="1:17" ht="14.25" thickBot="1" thickTop="1">
      <c r="A23" t="s">
        <v>24</v>
      </c>
      <c r="B23" t="s">
        <v>26</v>
      </c>
      <c r="C23" t="s">
        <v>27</v>
      </c>
      <c r="D23" t="s">
        <v>28</v>
      </c>
      <c r="E23" t="s">
        <v>29</v>
      </c>
      <c r="F23" t="s">
        <v>30</v>
      </c>
      <c r="H23" s="5"/>
      <c r="I23" s="32"/>
      <c r="J23" s="32"/>
      <c r="K23" s="32"/>
      <c r="L23" s="5" t="s">
        <v>56</v>
      </c>
      <c r="M23" s="32"/>
      <c r="N23" s="70">
        <f>reken!I72</f>
        <v>21610.509416556542</v>
      </c>
      <c r="O23" s="32"/>
      <c r="P23" s="71">
        <f>100*(N23/N$19)</f>
        <v>97.24623959479527</v>
      </c>
      <c r="Q23" s="33"/>
    </row>
    <row r="24" spans="1:17" ht="14.25" thickBot="1" thickTop="1">
      <c r="A24">
        <v>0</v>
      </c>
      <c r="B24">
        <f>reken!B19</f>
        <v>300</v>
      </c>
      <c r="C24" s="15">
        <f>reken!C19</f>
        <v>390</v>
      </c>
      <c r="D24" s="1">
        <f>100*(reken!F19/$B$5)</f>
        <v>37.142857142857146</v>
      </c>
      <c r="E24" s="1">
        <f>reken!G19</f>
        <v>1.8477272727272727</v>
      </c>
      <c r="F24" s="15">
        <f>reken!H19</f>
        <v>0</v>
      </c>
      <c r="H24" s="5"/>
      <c r="I24" s="32"/>
      <c r="J24" s="32"/>
      <c r="K24" s="32"/>
      <c r="L24" s="17"/>
      <c r="M24" s="19"/>
      <c r="N24" s="19"/>
      <c r="O24" s="80">
        <f>SUM(N20:N23)</f>
        <v>100767.3334915491</v>
      </c>
      <c r="P24" s="19"/>
      <c r="Q24" s="81">
        <f>100*(O24/O$19)</f>
        <v>113.36202293015232</v>
      </c>
    </row>
    <row r="25" spans="1:17" ht="13.5" thickTop="1">
      <c r="A25">
        <v>1</v>
      </c>
      <c r="B25">
        <f>reken!B20</f>
        <v>396</v>
      </c>
      <c r="C25" s="15">
        <f>reken!C20</f>
        <v>498.0409090909091</v>
      </c>
      <c r="D25" s="1">
        <f>100*(reken!F20/$B$5)</f>
        <v>67.88922077922078</v>
      </c>
      <c r="E25" s="1">
        <f>reken!G20</f>
        <v>2.2285547596995787</v>
      </c>
      <c r="F25" s="15">
        <f>reken!H20</f>
        <v>0</v>
      </c>
      <c r="H25" s="78"/>
      <c r="I25" s="79"/>
      <c r="J25" s="79"/>
      <c r="K25" s="79"/>
      <c r="L25" s="79"/>
      <c r="M25" s="79"/>
      <c r="N25" s="82" t="s">
        <v>57</v>
      </c>
      <c r="O25" s="82" t="s">
        <v>58</v>
      </c>
      <c r="P25" s="82" t="s">
        <v>72</v>
      </c>
      <c r="Q25" s="83" t="s">
        <v>59</v>
      </c>
    </row>
    <row r="26" spans="1:17" ht="12.75">
      <c r="A26">
        <f>A25+1</f>
        <v>2</v>
      </c>
      <c r="B26">
        <f>reken!B21</f>
        <v>491</v>
      </c>
      <c r="C26" s="15">
        <f>reken!C21</f>
        <v>611.7991199838185</v>
      </c>
      <c r="D26" s="1">
        <f>100*(reken!F21/$B$5)</f>
        <v>86.34447484063114</v>
      </c>
      <c r="E26" s="1">
        <f>reken!G21</f>
        <v>3.280760787903338</v>
      </c>
      <c r="F26" s="15">
        <f>reken!H21</f>
        <v>0</v>
      </c>
      <c r="H26" s="65" t="s">
        <v>63</v>
      </c>
      <c r="I26" s="66"/>
      <c r="J26" s="66"/>
      <c r="K26" s="66"/>
      <c r="L26" s="66"/>
      <c r="M26" s="66"/>
      <c r="N26" s="67">
        <f>reken!J16</f>
        <v>33000</v>
      </c>
      <c r="O26" s="66">
        <f>4*N26</f>
        <v>132000</v>
      </c>
      <c r="P26" s="68">
        <f>100*(N26/N$26)</f>
        <v>100</v>
      </c>
      <c r="Q26" s="69"/>
    </row>
    <row r="27" spans="1:17" ht="12.75">
      <c r="A27">
        <f aca="true" t="shared" si="1" ref="A27:A34">A26+1</f>
        <v>3</v>
      </c>
      <c r="B27">
        <f>reken!B22</f>
        <v>584</v>
      </c>
      <c r="C27" s="15">
        <f>reken!C22</f>
        <v>745.364172766176</v>
      </c>
      <c r="D27" s="1">
        <f>100*(reken!F22/$B$5)</f>
        <v>91.08702277328926</v>
      </c>
      <c r="E27" s="1">
        <f>reken!G22</f>
        <v>4.254898897876579</v>
      </c>
      <c r="F27" s="15">
        <f>reken!H22</f>
        <v>0</v>
      </c>
      <c r="H27" s="5" t="s">
        <v>64</v>
      </c>
      <c r="I27" s="32"/>
      <c r="J27" s="32"/>
      <c r="K27" s="32"/>
      <c r="L27" s="5" t="s">
        <v>53</v>
      </c>
      <c r="M27" s="32"/>
      <c r="N27" s="70">
        <f>reken!J30</f>
        <v>84200.9948656314</v>
      </c>
      <c r="O27" s="32"/>
      <c r="P27" s="71">
        <f>100*(N27/N$26)</f>
        <v>255.15452989585273</v>
      </c>
      <c r="Q27" s="33"/>
    </row>
    <row r="28" spans="1:17" ht="12.75">
      <c r="A28">
        <f t="shared" si="1"/>
        <v>4</v>
      </c>
      <c r="B28">
        <f>reken!B23</f>
        <v>673</v>
      </c>
      <c r="C28" s="15">
        <f>reken!C23</f>
        <v>896.6407884222298</v>
      </c>
      <c r="D28" s="1">
        <f>100*(reken!F23/$B$5)</f>
        <v>84.40774449886406</v>
      </c>
      <c r="E28" s="1">
        <f>reken!G23</f>
        <v>3.0533600782246477</v>
      </c>
      <c r="F28" s="15">
        <f>reken!H23</f>
        <v>0</v>
      </c>
      <c r="H28" s="5"/>
      <c r="I28" s="32"/>
      <c r="J28" s="32"/>
      <c r="K28" s="32"/>
      <c r="L28" s="5" t="s">
        <v>54</v>
      </c>
      <c r="M28" s="32"/>
      <c r="N28" s="70">
        <f>reken!J44</f>
        <v>6710.909947575297</v>
      </c>
      <c r="O28" s="32"/>
      <c r="P28" s="71">
        <f>100*(N28/N$26)</f>
        <v>20.336090750228173</v>
      </c>
      <c r="Q28" s="33"/>
    </row>
    <row r="29" spans="1:17" ht="12.75">
      <c r="A29">
        <f t="shared" si="1"/>
        <v>5</v>
      </c>
      <c r="B29">
        <f>reken!B24</f>
        <v>757</v>
      </c>
      <c r="C29" s="15">
        <f>reken!C24</f>
        <v>1020.2388333925758</v>
      </c>
      <c r="D29" s="1">
        <f>100*(reken!F24/$B$5)</f>
        <v>68.87521077367987</v>
      </c>
      <c r="E29" s="1">
        <f>reken!G24</f>
        <v>2.2532182906754974</v>
      </c>
      <c r="F29" s="15">
        <f>reken!H24</f>
        <v>0</v>
      </c>
      <c r="H29" s="5"/>
      <c r="I29" s="32"/>
      <c r="J29" s="32"/>
      <c r="K29" s="32"/>
      <c r="L29" s="5" t="s">
        <v>55</v>
      </c>
      <c r="M29" s="32"/>
      <c r="N29" s="70">
        <f>reken!J58</f>
        <v>40737.393930910395</v>
      </c>
      <c r="O29" s="32"/>
      <c r="P29" s="71">
        <f>100*(N29/N$26)</f>
        <v>123.44664827548604</v>
      </c>
      <c r="Q29" s="33"/>
    </row>
    <row r="30" spans="1:17" ht="13.5" thickBot="1">
      <c r="A30">
        <f t="shared" si="1"/>
        <v>6</v>
      </c>
      <c r="B30">
        <f>reken!B25</f>
        <v>835</v>
      </c>
      <c r="C30" s="15">
        <f>reken!C25</f>
        <v>1122.3062768523191</v>
      </c>
      <c r="D30" s="1">
        <f>100*(reken!F25/$B$5)</f>
        <v>49.77229426648911</v>
      </c>
      <c r="E30" s="1">
        <f>reken!G25</f>
        <v>1.9477332656331248</v>
      </c>
      <c r="F30" s="15">
        <f>reken!H25</f>
        <v>0</v>
      </c>
      <c r="H30" s="5"/>
      <c r="I30" s="32"/>
      <c r="J30" s="32"/>
      <c r="K30" s="32"/>
      <c r="L30" s="5" t="s">
        <v>56</v>
      </c>
      <c r="M30" s="32"/>
      <c r="N30" s="70">
        <f>reken!J72</f>
        <v>30762.011798221425</v>
      </c>
      <c r="O30" s="32"/>
      <c r="P30" s="71">
        <f>100*(N30/N$26)</f>
        <v>93.21821757036795</v>
      </c>
      <c r="Q30" s="33"/>
    </row>
    <row r="31" spans="1:17" ht="14.25" thickBot="1" thickTop="1">
      <c r="A31">
        <f t="shared" si="1"/>
        <v>7</v>
      </c>
      <c r="B31">
        <f>reken!B26</f>
        <v>910</v>
      </c>
      <c r="C31" s="15">
        <f>reken!C26</f>
        <v>1212.6043331507353</v>
      </c>
      <c r="D31" s="1">
        <f>100*(reken!F26/$B$5)</f>
        <v>32.05282602336425</v>
      </c>
      <c r="E31" s="1">
        <f>reken!G26</f>
        <v>1.8179328886966877</v>
      </c>
      <c r="F31" s="15">
        <f>reken!H26</f>
        <v>0</v>
      </c>
      <c r="H31" s="5"/>
      <c r="I31" s="32"/>
      <c r="J31" s="32"/>
      <c r="K31" s="32"/>
      <c r="L31" s="17"/>
      <c r="M31" s="19"/>
      <c r="N31" s="19"/>
      <c r="O31" s="80">
        <f>SUM(N27:N30)</f>
        <v>162411.3105423385</v>
      </c>
      <c r="P31" s="19"/>
      <c r="Q31" s="81">
        <f>100*(O31/O$26)</f>
        <v>123.0388716229837</v>
      </c>
    </row>
    <row r="32" spans="1:17" ht="13.5" thickTop="1">
      <c r="A32">
        <f t="shared" si="1"/>
        <v>8</v>
      </c>
      <c r="B32">
        <f>reken!B27</f>
        <v>980</v>
      </c>
      <c r="C32" s="15">
        <f>reken!C27</f>
        <v>1294.3918887277007</v>
      </c>
      <c r="D32" s="1">
        <f>100*(reken!F27/$B$5)</f>
        <v>18.039488991934462</v>
      </c>
      <c r="E32" s="1">
        <f>reken!G27</f>
        <v>1.7550249405782719</v>
      </c>
      <c r="F32" s="15">
        <f>reken!H27</f>
        <v>0</v>
      </c>
      <c r="H32" s="78"/>
      <c r="I32" s="79"/>
      <c r="J32" s="79"/>
      <c r="K32" s="79"/>
      <c r="L32" s="79"/>
      <c r="M32" s="79"/>
      <c r="N32" s="82" t="s">
        <v>57</v>
      </c>
      <c r="O32" s="82" t="s">
        <v>58</v>
      </c>
      <c r="P32" s="82" t="s">
        <v>72</v>
      </c>
      <c r="Q32" s="83" t="s">
        <v>59</v>
      </c>
    </row>
    <row r="33" spans="1:17" ht="12.75">
      <c r="A33">
        <f t="shared" si="1"/>
        <v>9</v>
      </c>
      <c r="B33">
        <f>reken!B28</f>
        <v>1047</v>
      </c>
      <c r="C33" s="15">
        <f>reken!C28</f>
        <v>1368.6782246228104</v>
      </c>
      <c r="D33" s="1">
        <f>100*(reken!F28/$B$5)</f>
        <v>7.688752409493086</v>
      </c>
      <c r="E33" s="1">
        <f>reken!G28</f>
        <v>1.7208229024365493</v>
      </c>
      <c r="F33" s="15">
        <f>reken!H28</f>
        <v>0</v>
      </c>
      <c r="H33" s="65" t="s">
        <v>68</v>
      </c>
      <c r="I33" s="66"/>
      <c r="J33" s="66"/>
      <c r="K33" s="66"/>
      <c r="L33" s="66"/>
      <c r="M33" s="66"/>
      <c r="N33" s="72">
        <f>reken!K16</f>
        <v>2.537599999999999</v>
      </c>
      <c r="O33" s="67">
        <f>4*N33</f>
        <v>10.150399999999996</v>
      </c>
      <c r="P33" s="68">
        <f>100*(N33/N$33)</f>
        <v>100</v>
      </c>
      <c r="Q33" s="69"/>
    </row>
    <row r="34" spans="1:17" ht="12.75">
      <c r="A34">
        <f t="shared" si="1"/>
        <v>10</v>
      </c>
      <c r="B34">
        <f>reken!B29</f>
        <v>1110</v>
      </c>
      <c r="C34" s="15">
        <f>reken!C29</f>
        <v>1435.7669178826143</v>
      </c>
      <c r="D34" s="1">
        <f>100*(reken!F29/$B$5)</f>
        <v>0</v>
      </c>
      <c r="E34" s="1">
        <f>reken!G29</f>
        <v>1.7</v>
      </c>
      <c r="F34" s="15">
        <f>reken!H29</f>
        <v>0</v>
      </c>
      <c r="H34" s="5" t="s">
        <v>70</v>
      </c>
      <c r="I34" s="32"/>
      <c r="J34" s="32"/>
      <c r="K34" s="32"/>
      <c r="L34" s="5" t="s">
        <v>53</v>
      </c>
      <c r="M34" s="32"/>
      <c r="N34" s="73">
        <f>reken!K30</f>
        <v>10.402257156597958</v>
      </c>
      <c r="O34" s="32"/>
      <c r="P34" s="71">
        <f>100*(N34/N$33)</f>
        <v>409.92501405256786</v>
      </c>
      <c r="Q34" s="33"/>
    </row>
    <row r="35" spans="8:17" ht="13.5" thickBot="1">
      <c r="H35" s="5"/>
      <c r="I35" s="32"/>
      <c r="J35" s="32"/>
      <c r="K35" s="32"/>
      <c r="L35" s="5" t="s">
        <v>54</v>
      </c>
      <c r="M35" s="32"/>
      <c r="N35" s="73">
        <f>reken!K44</f>
        <v>0</v>
      </c>
      <c r="O35" s="32"/>
      <c r="P35" s="71">
        <f>100*(N35/N$33)</f>
        <v>0</v>
      </c>
      <c r="Q35" s="33"/>
    </row>
    <row r="36" spans="1:17" ht="14.25" thickBot="1" thickTop="1">
      <c r="A36" s="21" t="s">
        <v>31</v>
      </c>
      <c r="B36" s="10">
        <f>B22+1</f>
        <v>2</v>
      </c>
      <c r="C36" s="17" t="s">
        <v>16</v>
      </c>
      <c r="D36" s="18">
        <v>0</v>
      </c>
      <c r="E36" s="19" t="s">
        <v>17</v>
      </c>
      <c r="F36" s="50">
        <f>((60*$B$3)+(D36))/(60*$B$3)</f>
        <v>1</v>
      </c>
      <c r="H36" s="5"/>
      <c r="I36" s="32"/>
      <c r="J36" s="32"/>
      <c r="K36" s="32"/>
      <c r="L36" s="5" t="s">
        <v>55</v>
      </c>
      <c r="M36" s="32"/>
      <c r="N36" s="73">
        <f>reken!K58</f>
        <v>3.7378647986754743</v>
      </c>
      <c r="O36" s="32"/>
      <c r="P36" s="71">
        <f>100*(N36/N$33)</f>
        <v>147.2992118015241</v>
      </c>
      <c r="Q36" s="33"/>
    </row>
    <row r="37" spans="1:17" ht="14.25" thickBot="1" thickTop="1">
      <c r="A37" t="s">
        <v>24</v>
      </c>
      <c r="B37" t="s">
        <v>26</v>
      </c>
      <c r="C37" t="s">
        <v>27</v>
      </c>
      <c r="D37" t="s">
        <v>28</v>
      </c>
      <c r="E37" t="s">
        <v>29</v>
      </c>
      <c r="F37" t="s">
        <v>30</v>
      </c>
      <c r="H37" s="5"/>
      <c r="I37" s="32"/>
      <c r="J37" s="32"/>
      <c r="K37" s="32"/>
      <c r="L37" s="5" t="s">
        <v>56</v>
      </c>
      <c r="M37" s="32"/>
      <c r="N37" s="73">
        <f>reken!K72</f>
        <v>2.4197637191477774</v>
      </c>
      <c r="O37" s="32"/>
      <c r="P37" s="71">
        <f>100*(N37/N$33)</f>
        <v>95.3563886801615</v>
      </c>
      <c r="Q37" s="33"/>
    </row>
    <row r="38" spans="1:17" ht="14.25" thickBot="1" thickTop="1">
      <c r="A38">
        <v>0</v>
      </c>
      <c r="B38">
        <f>reken!B33</f>
        <v>600</v>
      </c>
      <c r="C38" s="15">
        <f>reken!C33</f>
        <v>600</v>
      </c>
      <c r="D38" s="1">
        <f>100*(reken!F33/$B$5)</f>
        <v>20</v>
      </c>
      <c r="E38" s="1">
        <f>reken!G33</f>
        <v>1.7625</v>
      </c>
      <c r="F38" s="15">
        <f>reken!H33</f>
        <v>0</v>
      </c>
      <c r="H38" s="6"/>
      <c r="I38" s="74"/>
      <c r="J38" s="74"/>
      <c r="K38" s="74"/>
      <c r="L38" s="17"/>
      <c r="M38" s="19"/>
      <c r="N38" s="19"/>
      <c r="O38" s="80">
        <f>SUM(N34:N37)</f>
        <v>16.55988567442121</v>
      </c>
      <c r="P38" s="19"/>
      <c r="Q38" s="81">
        <f>100*(O38/O33)</f>
        <v>163.14515363356335</v>
      </c>
    </row>
    <row r="39" spans="1:6" ht="14.25" thickBot="1" thickTop="1">
      <c r="A39">
        <v>1</v>
      </c>
      <c r="B39">
        <f>reken!B34</f>
        <v>696</v>
      </c>
      <c r="C39" s="15">
        <f>reken!C34</f>
        <v>684.675</v>
      </c>
      <c r="D39" s="1">
        <f>100*(reken!F34/$B$5)</f>
        <v>33.99720779220779</v>
      </c>
      <c r="E39" s="1">
        <f>reken!G34</f>
        <v>1.8287718543981315</v>
      </c>
      <c r="F39" s="15">
        <f>reken!H34</f>
        <v>0</v>
      </c>
    </row>
    <row r="40" spans="1:17" ht="13.5" thickTop="1">
      <c r="A40">
        <f>A39+1</f>
        <v>2</v>
      </c>
      <c r="B40">
        <f>reken!B35</f>
        <v>791</v>
      </c>
      <c r="C40" s="15">
        <f>reken!C35</f>
        <v>765.1536703515436</v>
      </c>
      <c r="D40" s="1">
        <f>100*(reken!F35/$B$5)</f>
        <v>38.881922452259566</v>
      </c>
      <c r="E40" s="1">
        <f>reken!G35</f>
        <v>1.8590442795827804</v>
      </c>
      <c r="F40" s="15">
        <f>reken!H35</f>
        <v>0</v>
      </c>
      <c r="H40" s="51" t="s">
        <v>33</v>
      </c>
      <c r="I40" s="52"/>
      <c r="J40" s="52"/>
      <c r="K40" s="52"/>
      <c r="L40" s="52"/>
      <c r="M40" s="52"/>
      <c r="N40" s="52"/>
      <c r="O40" s="52"/>
      <c r="P40" s="52"/>
      <c r="Q40" s="53"/>
    </row>
    <row r="41" spans="1:17" ht="12.75">
      <c r="A41">
        <f aca="true" t="shared" si="2" ref="A41:A48">A40+1</f>
        <v>3</v>
      </c>
      <c r="B41">
        <f>reken!B36</f>
        <v>884</v>
      </c>
      <c r="C41" s="15">
        <f>reken!C36</f>
        <v>840.3586249973628</v>
      </c>
      <c r="D41" s="1">
        <f>100*(reken!F36/$B$5)</f>
        <v>33.55030919866081</v>
      </c>
      <c r="E41" s="1">
        <f>reken!G36</f>
        <v>1.8262244744635616</v>
      </c>
      <c r="F41" s="15">
        <f>reken!H36</f>
        <v>0</v>
      </c>
      <c r="H41" s="59" t="s">
        <v>73</v>
      </c>
      <c r="I41" s="55" t="s">
        <v>80</v>
      </c>
      <c r="J41" s="55"/>
      <c r="K41" s="55"/>
      <c r="L41" s="55"/>
      <c r="M41" s="55"/>
      <c r="N41" s="55"/>
      <c r="O41" s="55"/>
      <c r="P41" s="55"/>
      <c r="Q41" s="56"/>
    </row>
    <row r="42" spans="1:17" ht="12.75">
      <c r="A42">
        <f t="shared" si="2"/>
        <v>4</v>
      </c>
      <c r="B42">
        <f>reken!B37</f>
        <v>973</v>
      </c>
      <c r="C42" s="15">
        <f>reken!C37</f>
        <v>908.4544140321626</v>
      </c>
      <c r="D42" s="1">
        <f>100*(reken!F37/$B$5)</f>
        <v>20.805249839764077</v>
      </c>
      <c r="E42" s="1">
        <f>reken!G37</f>
        <v>1.7656774906091266</v>
      </c>
      <c r="F42" s="15">
        <f>reken!H37</f>
        <v>0</v>
      </c>
      <c r="H42" s="59" t="s">
        <v>74</v>
      </c>
      <c r="I42" s="55" t="s">
        <v>75</v>
      </c>
      <c r="J42" s="55"/>
      <c r="K42" s="55"/>
      <c r="L42" s="55"/>
      <c r="M42" s="55"/>
      <c r="N42" s="55"/>
      <c r="O42" s="55"/>
      <c r="P42" s="55"/>
      <c r="Q42" s="56"/>
    </row>
    <row r="43" spans="1:17" ht="12.75">
      <c r="A43">
        <f t="shared" si="2"/>
        <v>5</v>
      </c>
      <c r="B43">
        <f>reken!B38</f>
        <v>1057</v>
      </c>
      <c r="C43" s="15">
        <f>reken!C38</f>
        <v>1020.2388333925758</v>
      </c>
      <c r="D43" s="1">
        <f>100*(reken!F38/$B$5)</f>
        <v>10.402624919882038</v>
      </c>
      <c r="E43" s="1">
        <f>reken!G38</f>
        <v>1.7290260314841255</v>
      </c>
      <c r="F43" s="15">
        <f>reken!H38</f>
        <v>0</v>
      </c>
      <c r="H43" s="59" t="s">
        <v>76</v>
      </c>
      <c r="I43" s="55" t="s">
        <v>77</v>
      </c>
      <c r="J43" s="55"/>
      <c r="K43" s="55"/>
      <c r="L43" s="55"/>
      <c r="M43" s="55"/>
      <c r="N43" s="55"/>
      <c r="O43" s="55"/>
      <c r="P43" s="55"/>
      <c r="Q43" s="56"/>
    </row>
    <row r="44" spans="1:17" ht="13.5" thickBot="1">
      <c r="A44">
        <f t="shared" si="2"/>
        <v>6</v>
      </c>
      <c r="B44">
        <f>reken!B39</f>
        <v>1135</v>
      </c>
      <c r="C44" s="15">
        <f>reken!C39</f>
        <v>1122.3062768523191</v>
      </c>
      <c r="D44" s="1">
        <f>100*(reken!F39/$B$5)</f>
        <v>4.161049967952816</v>
      </c>
      <c r="E44" s="1">
        <f>reken!G39</f>
        <v>1.7108542768012416</v>
      </c>
      <c r="F44" s="15">
        <f>reken!H39</f>
        <v>0</v>
      </c>
      <c r="H44" s="60" t="s">
        <v>78</v>
      </c>
      <c r="I44" s="57" t="s">
        <v>79</v>
      </c>
      <c r="J44" s="57"/>
      <c r="K44" s="57"/>
      <c r="L44" s="57"/>
      <c r="M44" s="57"/>
      <c r="N44" s="57"/>
      <c r="O44" s="57"/>
      <c r="P44" s="57"/>
      <c r="Q44" s="58"/>
    </row>
    <row r="45" spans="1:6" ht="13.5" thickTop="1">
      <c r="A45">
        <f t="shared" si="2"/>
        <v>7</v>
      </c>
      <c r="B45">
        <f>reken!B40</f>
        <v>1210</v>
      </c>
      <c r="C45" s="15">
        <f>reken!C40</f>
        <v>1212.6043331507353</v>
      </c>
      <c r="D45" s="1">
        <f>100*(reken!F40/$B$5)</f>
        <v>1.2483149903858448</v>
      </c>
      <c r="E45" s="1">
        <f>reken!G40</f>
        <v>1.7031602371905459</v>
      </c>
      <c r="F45" s="15">
        <f>reken!H40</f>
        <v>0</v>
      </c>
    </row>
    <row r="46" spans="1:6" ht="12.75">
      <c r="A46">
        <f t="shared" si="2"/>
        <v>8</v>
      </c>
      <c r="B46">
        <f>reken!B41</f>
        <v>1280</v>
      </c>
      <c r="C46" s="15">
        <f>reken!C41</f>
        <v>1294.3918887277007</v>
      </c>
      <c r="D46" s="1">
        <f>100*(reken!F41/$B$5)</f>
        <v>0.24966299807716885</v>
      </c>
      <c r="E46" s="1">
        <f>reken!G41</f>
        <v>1.7006257196857197</v>
      </c>
      <c r="F46" s="15">
        <f>reken!H41</f>
        <v>0</v>
      </c>
    </row>
    <row r="47" spans="1:6" ht="12.75">
      <c r="A47">
        <f t="shared" si="2"/>
        <v>9</v>
      </c>
      <c r="B47">
        <f>reken!B42</f>
        <v>1347</v>
      </c>
      <c r="C47" s="15">
        <f>reken!C42</f>
        <v>1368.6782246228104</v>
      </c>
      <c r="D47" s="1">
        <f>100*(reken!F42/$B$5)</f>
        <v>0.024966299807716866</v>
      </c>
      <c r="E47" s="1">
        <f>reken!G42</f>
        <v>1.7000624313363137</v>
      </c>
      <c r="F47" s="15">
        <f>reken!H42</f>
        <v>0</v>
      </c>
    </row>
    <row r="48" spans="1:6" ht="12.75">
      <c r="A48">
        <f t="shared" si="2"/>
        <v>10</v>
      </c>
      <c r="B48">
        <f>reken!B43</f>
        <v>1410</v>
      </c>
      <c r="C48" s="15">
        <f>reken!C43</f>
        <v>1435.7669178826143</v>
      </c>
      <c r="D48" s="1">
        <f>100*(reken!F43/$B$5)</f>
        <v>0</v>
      </c>
      <c r="E48" s="1">
        <f>reken!G43</f>
        <v>1.7</v>
      </c>
      <c r="F48" s="15">
        <f>reken!H43</f>
        <v>0</v>
      </c>
    </row>
    <row r="49" ht="13.5" thickBot="1"/>
    <row r="50" spans="1:6" ht="14.25" thickBot="1" thickTop="1">
      <c r="A50" s="21" t="s">
        <v>31</v>
      </c>
      <c r="B50" s="10">
        <f>B36+1</f>
        <v>3</v>
      </c>
      <c r="C50" s="17" t="s">
        <v>16</v>
      </c>
      <c r="D50" s="18">
        <v>0</v>
      </c>
      <c r="E50" s="19" t="s">
        <v>17</v>
      </c>
      <c r="F50" s="50">
        <f>((60*$B$3)+(D50))/(60*$B$3)</f>
        <v>1</v>
      </c>
    </row>
    <row r="51" spans="1:6" ht="13.5" thickTop="1">
      <c r="A51" t="s">
        <v>24</v>
      </c>
      <c r="B51" t="s">
        <v>26</v>
      </c>
      <c r="C51" t="s">
        <v>27</v>
      </c>
      <c r="D51" t="s">
        <v>28</v>
      </c>
      <c r="E51" t="s">
        <v>29</v>
      </c>
      <c r="F51" t="s">
        <v>30</v>
      </c>
    </row>
    <row r="52" spans="1:6" ht="12.75">
      <c r="A52">
        <v>0</v>
      </c>
      <c r="B52">
        <f>reken!B47</f>
        <v>900</v>
      </c>
      <c r="C52" s="15">
        <f>reken!C47</f>
        <v>900</v>
      </c>
      <c r="D52" s="1">
        <f>100*(reken!F47/$B$5)</f>
        <v>28.57142857142857</v>
      </c>
      <c r="E52" s="1">
        <f>reken!G47</f>
        <v>1.8</v>
      </c>
      <c r="F52" s="15">
        <f>reken!H47</f>
        <v>0</v>
      </c>
    </row>
    <row r="53" spans="1:6" ht="12.75">
      <c r="A53">
        <v>1</v>
      </c>
      <c r="B53">
        <f>reken!B48</f>
        <v>996</v>
      </c>
      <c r="C53" s="15">
        <f>reken!C48</f>
        <v>996</v>
      </c>
      <c r="D53" s="1">
        <f>100*(reken!F48/$B$5)</f>
        <v>52.399285714285725</v>
      </c>
      <c r="E53" s="1">
        <f>reken!G48</f>
        <v>1.9752022028480967</v>
      </c>
      <c r="F53" s="15">
        <f>reken!H48</f>
        <v>0</v>
      </c>
    </row>
    <row r="54" spans="1:6" ht="12.75">
      <c r="A54">
        <f>A53+1</f>
        <v>2</v>
      </c>
      <c r="B54">
        <f>reken!B49</f>
        <v>1091</v>
      </c>
      <c r="C54" s="15">
        <f>reken!C49</f>
        <v>1092.895789548101</v>
      </c>
      <c r="D54" s="1">
        <f>100*(reken!F49/$B$5)</f>
        <v>66.89025670069009</v>
      </c>
      <c r="E54" s="1">
        <f>reken!G49</f>
        <v>2.2050647485847787</v>
      </c>
      <c r="F54" s="15">
        <f>reken!H49</f>
        <v>0</v>
      </c>
    </row>
    <row r="55" spans="1:6" ht="12.75">
      <c r="A55">
        <f aca="true" t="shared" si="3" ref="A55:A62">A54+1</f>
        <v>3</v>
      </c>
      <c r="B55">
        <f>reken!B50</f>
        <v>1184</v>
      </c>
      <c r="C55" s="15">
        <f>reken!C50</f>
        <v>1191.4393945436636</v>
      </c>
      <c r="D55" s="1">
        <f>100*(reken!F50/$B$5)</f>
        <v>70.22856432690313</v>
      </c>
      <c r="E55" s="1">
        <f>reken!G50</f>
        <v>2.2897310856792634</v>
      </c>
      <c r="F55" s="15">
        <f>reken!H50</f>
        <v>0</v>
      </c>
    </row>
    <row r="56" spans="1:6" ht="12.75">
      <c r="A56">
        <f t="shared" si="3"/>
        <v>4</v>
      </c>
      <c r="B56">
        <f>reken!B51</f>
        <v>1273</v>
      </c>
      <c r="C56" s="15">
        <f>reken!C51</f>
        <v>1288.9538202856672</v>
      </c>
      <c r="D56" s="1">
        <f>100*(reken!F51/$B$5)</f>
        <v>63.87996181062785</v>
      </c>
      <c r="E56" s="1">
        <f>reken!G51</f>
        <v>2.1421365882541044</v>
      </c>
      <c r="F56" s="15">
        <f>reken!H51</f>
        <v>0</v>
      </c>
    </row>
    <row r="57" spans="1:6" ht="12.75">
      <c r="A57">
        <f t="shared" si="3"/>
        <v>5</v>
      </c>
      <c r="B57">
        <f>reken!B52</f>
        <v>1357</v>
      </c>
      <c r="C57" s="15">
        <f>reken!C52</f>
        <v>1381.557088283451</v>
      </c>
      <c r="D57" s="1">
        <f>100*(reken!F52/$B$5)</f>
        <v>49.145612090593694</v>
      </c>
      <c r="E57" s="1">
        <f>reken!G52</f>
        <v>1.9415996638192918</v>
      </c>
      <c r="F57" s="15">
        <f>reken!H52</f>
        <v>0</v>
      </c>
    </row>
    <row r="58" spans="1:6" ht="12.75">
      <c r="A58">
        <f t="shared" si="3"/>
        <v>6</v>
      </c>
      <c r="B58">
        <f>reken!B53</f>
        <v>1435</v>
      </c>
      <c r="C58" s="15">
        <f>reken!C53</f>
        <v>1464.9416016910477</v>
      </c>
      <c r="D58" s="1">
        <f>100*(reken!F53/$B$5)</f>
        <v>32.71101911580809</v>
      </c>
      <c r="E58" s="1">
        <f>reken!G53</f>
        <v>1.821531856650146</v>
      </c>
      <c r="F58" s="15">
        <f>reken!H53</f>
        <v>0</v>
      </c>
    </row>
    <row r="59" spans="1:6" ht="12.75">
      <c r="A59">
        <f t="shared" si="3"/>
        <v>7</v>
      </c>
      <c r="B59">
        <f>reken!B54</f>
        <v>1510</v>
      </c>
      <c r="C59" s="15">
        <f>reken!C54</f>
        <v>1541.5848326085788</v>
      </c>
      <c r="D59" s="1">
        <f>100*(reken!F54/$B$5)</f>
        <v>19.212748576395096</v>
      </c>
      <c r="E59" s="1">
        <f>reken!G54</f>
        <v>1.7594547661847466</v>
      </c>
      <c r="F59" s="15">
        <f>reken!H54</f>
        <v>0</v>
      </c>
    </row>
    <row r="60" spans="1:6" ht="12.75">
      <c r="A60">
        <f t="shared" si="3"/>
        <v>8</v>
      </c>
      <c r="B60">
        <f>reken!B55</f>
        <v>1580</v>
      </c>
      <c r="C60" s="15">
        <f>reken!C55</f>
        <v>1613.1613587636377</v>
      </c>
      <c r="D60" s="1">
        <f>100*(reken!F55/$B$5)</f>
        <v>9.91434914453496</v>
      </c>
      <c r="E60" s="1">
        <f>reken!G55</f>
        <v>1.7275136746262778</v>
      </c>
      <c r="F60" s="15">
        <f>reken!H55</f>
        <v>0</v>
      </c>
    </row>
    <row r="61" spans="1:6" ht="12.75">
      <c r="A61">
        <f t="shared" si="3"/>
        <v>9</v>
      </c>
      <c r="B61">
        <f>reken!B56</f>
        <v>1647</v>
      </c>
      <c r="C61" s="15">
        <f>reken!C56</f>
        <v>1680.503740344177</v>
      </c>
      <c r="D61" s="1">
        <f>100*(reken!F56/$B$5)</f>
        <v>3.9612017308474634</v>
      </c>
      <c r="E61" s="1">
        <f>reken!G56</f>
        <v>1.7103114621440443</v>
      </c>
      <c r="F61" s="15">
        <f>reken!H56</f>
        <v>0</v>
      </c>
    </row>
    <row r="62" spans="1:6" ht="12.75">
      <c r="A62">
        <f t="shared" si="3"/>
        <v>10</v>
      </c>
      <c r="B62">
        <f>reken!B57</f>
        <v>1710</v>
      </c>
      <c r="C62" s="15">
        <f>reken!C57</f>
        <v>1744.0591987023586</v>
      </c>
      <c r="D62" s="1">
        <f>100*(reken!F57/$B$5)</f>
        <v>0</v>
      </c>
      <c r="E62" s="1">
        <f>reken!G57</f>
        <v>1.7</v>
      </c>
      <c r="F62" s="15">
        <f>reken!H57</f>
        <v>0</v>
      </c>
    </row>
    <row r="63" ht="13.5" thickBot="1"/>
    <row r="64" spans="1:6" ht="14.25" thickBot="1" thickTop="1">
      <c r="A64" s="21" t="s">
        <v>31</v>
      </c>
      <c r="B64" s="10">
        <f>B50+1</f>
        <v>4</v>
      </c>
      <c r="C64" s="17" t="s">
        <v>16</v>
      </c>
      <c r="D64" s="18">
        <v>0</v>
      </c>
      <c r="E64" s="19" t="s">
        <v>17</v>
      </c>
      <c r="F64" s="50">
        <f>((60*$B$3)+(D64))/(60*$B$3)</f>
        <v>1</v>
      </c>
    </row>
    <row r="65" spans="1:6" ht="13.5" thickTop="1">
      <c r="A65" t="s">
        <v>24</v>
      </c>
      <c r="B65" t="s">
        <v>26</v>
      </c>
      <c r="C65" t="s">
        <v>27</v>
      </c>
      <c r="D65" t="s">
        <v>28</v>
      </c>
      <c r="E65" t="s">
        <v>29</v>
      </c>
      <c r="F65" t="s">
        <v>30</v>
      </c>
    </row>
    <row r="66" spans="1:6" ht="12.75">
      <c r="A66">
        <v>0</v>
      </c>
      <c r="B66">
        <f>reken!B61</f>
        <v>1200</v>
      </c>
      <c r="C66" s="15">
        <f>reken!C61</f>
        <v>1200</v>
      </c>
      <c r="D66" s="1">
        <f>100*(reken!F61/$B$5)</f>
        <v>28.57142857142857</v>
      </c>
      <c r="E66" s="1">
        <f>reken!G61</f>
        <v>1.8</v>
      </c>
      <c r="F66" s="15">
        <f>reken!H61</f>
        <v>0</v>
      </c>
    </row>
    <row r="67" spans="1:6" ht="12.75">
      <c r="A67">
        <v>1</v>
      </c>
      <c r="B67">
        <f>reken!B62</f>
        <v>1296</v>
      </c>
      <c r="C67" s="15">
        <f>reken!C62</f>
        <v>1296</v>
      </c>
      <c r="D67" s="1">
        <f>100*(reken!F62/$B$5)</f>
        <v>51.42857142857142</v>
      </c>
      <c r="E67" s="1">
        <f>reken!G62</f>
        <v>1.964705882352941</v>
      </c>
      <c r="F67" s="15">
        <f>reken!H62</f>
        <v>0</v>
      </c>
    </row>
    <row r="68" spans="1:6" ht="12.75">
      <c r="A68">
        <f>A67+1</f>
        <v>2</v>
      </c>
      <c r="B68">
        <f>reken!B63</f>
        <v>1391</v>
      </c>
      <c r="C68" s="15">
        <f>reken!C63</f>
        <v>1391.3647058823528</v>
      </c>
      <c r="D68" s="1">
        <f>100*(reken!F63/$B$5)</f>
        <v>63.88334600641918</v>
      </c>
      <c r="E68" s="1">
        <f>reken!G63</f>
        <v>2.14220144270406</v>
      </c>
      <c r="F68" s="15">
        <f>reken!H63</f>
        <v>0</v>
      </c>
    </row>
    <row r="69" spans="1:6" ht="12.75">
      <c r="A69">
        <f aca="true" t="shared" si="4" ref="A69:A76">A68+1</f>
        <v>3</v>
      </c>
      <c r="B69">
        <f>reken!B64</f>
        <v>1484</v>
      </c>
      <c r="C69" s="15">
        <f>reken!C64</f>
        <v>1485.4650015182756</v>
      </c>
      <c r="D69" s="1">
        <f>100*(reken!F64/$B$5)</f>
        <v>64.32004933613423</v>
      </c>
      <c r="E69" s="1">
        <f>reken!G64</f>
        <v>2.1506736145887753</v>
      </c>
      <c r="F69" s="15">
        <f>reken!H64</f>
        <v>0</v>
      </c>
    </row>
    <row r="70" spans="1:6" ht="12.75">
      <c r="A70">
        <f t="shared" si="4"/>
        <v>4</v>
      </c>
      <c r="B70">
        <f>reken!B65</f>
        <v>1573</v>
      </c>
      <c r="C70" s="15">
        <f>reken!C65</f>
        <v>1574.9748135485172</v>
      </c>
      <c r="D70" s="1">
        <f>100*(reken!F65/$B$5)</f>
        <v>54.93608635955768</v>
      </c>
      <c r="E70" s="1">
        <f>reken!G65</f>
        <v>2.004767617377198</v>
      </c>
      <c r="F70" s="15">
        <f>reken!H65</f>
        <v>0</v>
      </c>
    </row>
    <row r="71" spans="1:6" ht="12.75">
      <c r="A71">
        <f t="shared" si="4"/>
        <v>5</v>
      </c>
      <c r="B71">
        <f>reken!B66</f>
        <v>1657</v>
      </c>
      <c r="C71" s="15">
        <f>reken!C66</f>
        <v>1657.9110385558542</v>
      </c>
      <c r="D71" s="1">
        <f>100*(reken!F66/$B$5)</f>
        <v>40.62775509751233</v>
      </c>
      <c r="E71" s="1">
        <f>reken!G66</f>
        <v>1.8710721700191684</v>
      </c>
      <c r="F71" s="15">
        <f>reken!H66</f>
        <v>0</v>
      </c>
    </row>
    <row r="72" spans="1:6" ht="12.75">
      <c r="A72">
        <f t="shared" si="4"/>
        <v>6</v>
      </c>
      <c r="B72">
        <f>reken!B67</f>
        <v>1735</v>
      </c>
      <c r="C72" s="15">
        <f>reken!C67</f>
        <v>1735.1469780701727</v>
      </c>
      <c r="D72" s="1">
        <f>100*(reken!F67/$B$5)</f>
        <v>26.54464018678112</v>
      </c>
      <c r="E72" s="1">
        <f>reken!G67</f>
        <v>1.7903427614209446</v>
      </c>
      <c r="F72" s="15">
        <f>reken!H67</f>
        <v>0</v>
      </c>
    </row>
    <row r="73" spans="1:6" ht="12.75">
      <c r="A73">
        <f t="shared" si="4"/>
        <v>7</v>
      </c>
      <c r="B73">
        <f>reken!B68</f>
        <v>1810</v>
      </c>
      <c r="C73" s="15">
        <f>reken!C68</f>
        <v>1808.0472511287699</v>
      </c>
      <c r="D73" s="1">
        <f>100*(reken!F68/$B$5)</f>
        <v>15.576604013754084</v>
      </c>
      <c r="E73" s="1">
        <f>reken!G68</f>
        <v>1.7461264434810575</v>
      </c>
      <c r="F73" s="15">
        <f>reken!H68</f>
        <v>0</v>
      </c>
    </row>
    <row r="74" spans="1:6" ht="12.75">
      <c r="A74">
        <f t="shared" si="4"/>
        <v>8</v>
      </c>
      <c r="B74">
        <f>reken!B69</f>
        <v>1880</v>
      </c>
      <c r="C74" s="15">
        <f>reken!C69</f>
        <v>1877.3527926322104</v>
      </c>
      <c r="D74" s="1">
        <f>100*(reken!F69/$B$5)</f>
        <v>8.147538590723627</v>
      </c>
      <c r="E74" s="1">
        <f>reken!G69</f>
        <v>1.7221756131129131</v>
      </c>
      <c r="F74" s="15">
        <f>reken!H69</f>
        <v>0</v>
      </c>
    </row>
    <row r="75" spans="1:6" ht="12.75">
      <c r="A75">
        <f t="shared" si="4"/>
        <v>9</v>
      </c>
      <c r="B75">
        <f>reken!B70</f>
        <v>1947</v>
      </c>
      <c r="C75" s="15">
        <f>reken!C70</f>
        <v>1943.4192465602341</v>
      </c>
      <c r="D75" s="1">
        <f>100*(reken!F70/$B$5)</f>
        <v>3.3187110611300494</v>
      </c>
      <c r="E75" s="1">
        <f>reken!G70</f>
        <v>1.7085815753429507</v>
      </c>
      <c r="F75" s="15">
        <f>reken!H70</f>
        <v>0</v>
      </c>
    </row>
    <row r="76" spans="1:6" ht="12.75">
      <c r="A76">
        <f t="shared" si="4"/>
        <v>10</v>
      </c>
      <c r="B76">
        <f>reken!B71</f>
        <v>2010</v>
      </c>
      <c r="C76" s="15">
        <f>reken!C71</f>
        <v>2006.4139971588522</v>
      </c>
      <c r="D76" s="1">
        <f>100*(reken!F71/$B$5)</f>
        <v>0</v>
      </c>
      <c r="E76" s="1">
        <f>reken!G71</f>
        <v>1.7</v>
      </c>
      <c r="F76" s="15">
        <f>reken!H71</f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2"/>
  <sheetViews>
    <sheetView zoomScale="90" zoomScaleNormal="90" workbookViewId="0" topLeftCell="A1">
      <selection activeCell="P61" sqref="P61"/>
    </sheetView>
  </sheetViews>
  <sheetFormatPr defaultColWidth="9.140625" defaultRowHeight="12.75"/>
  <cols>
    <col min="1" max="1" width="9.57421875" style="0" customWidth="1"/>
    <col min="7" max="7" width="9.7109375" style="0" customWidth="1"/>
    <col min="9" max="9" width="11.7109375" style="0" customWidth="1"/>
    <col min="10" max="10" width="12.57421875" style="0" customWidth="1"/>
    <col min="13" max="13" width="10.57421875" style="0" customWidth="1"/>
  </cols>
  <sheetData>
    <row r="1" spans="1:26" ht="13.5" thickBot="1">
      <c r="A1" t="s">
        <v>12</v>
      </c>
      <c r="B1" s="16">
        <f>comm!B2</f>
        <v>120</v>
      </c>
      <c r="C1" t="s">
        <v>14</v>
      </c>
      <c r="D1" s="10">
        <f>comm!B4</f>
        <v>10</v>
      </c>
      <c r="E1" s="6">
        <f>2*($B$1/$D$2)</f>
        <v>20</v>
      </c>
      <c r="F1" s="7" t="s">
        <v>5</v>
      </c>
      <c r="G1" s="63" t="s">
        <v>67</v>
      </c>
      <c r="H1" s="63">
        <f>comm!E2/100</f>
        <v>0.5</v>
      </c>
      <c r="I1" s="12"/>
      <c r="J1" s="12"/>
      <c r="K1" s="12"/>
      <c r="L1" s="4" t="s">
        <v>6</v>
      </c>
      <c r="M1" s="11">
        <v>15</v>
      </c>
      <c r="N1" s="8">
        <v>20</v>
      </c>
      <c r="O1" s="9" t="s">
        <v>5</v>
      </c>
      <c r="P1" s="13"/>
      <c r="Q1" s="5" t="s">
        <v>6</v>
      </c>
      <c r="R1" s="10">
        <v>20</v>
      </c>
      <c r="S1" s="6">
        <v>20</v>
      </c>
      <c r="T1" s="7" t="s">
        <v>5</v>
      </c>
      <c r="U1" s="12"/>
      <c r="V1" s="4" t="s">
        <v>6</v>
      </c>
      <c r="W1" s="11">
        <v>20</v>
      </c>
      <c r="X1" s="8">
        <v>25</v>
      </c>
      <c r="Y1" s="9" t="s">
        <v>5</v>
      </c>
      <c r="Z1" s="2"/>
    </row>
    <row r="2" spans="1:26" ht="13.5" thickTop="1">
      <c r="A2" t="s">
        <v>13</v>
      </c>
      <c r="B2" s="16">
        <f>comm!B3</f>
        <v>5</v>
      </c>
      <c r="C2" t="s">
        <v>15</v>
      </c>
      <c r="D2">
        <f>60/$B$2</f>
        <v>12</v>
      </c>
      <c r="E2" t="s">
        <v>7</v>
      </c>
      <c r="F2" s="10">
        <f>comm!B5</f>
        <v>70</v>
      </c>
      <c r="L2" s="4" t="s">
        <v>7</v>
      </c>
      <c r="M2" s="11">
        <v>75</v>
      </c>
      <c r="N2" s="2"/>
      <c r="O2" s="2"/>
      <c r="P2" s="2"/>
      <c r="Q2" s="5" t="s">
        <v>7</v>
      </c>
      <c r="R2" s="10">
        <v>75</v>
      </c>
      <c r="V2" s="4" t="s">
        <v>7</v>
      </c>
      <c r="W2" s="11">
        <v>85</v>
      </c>
      <c r="X2" s="2"/>
      <c r="Y2" s="2"/>
      <c r="Z2" s="2"/>
    </row>
    <row r="3" spans="1:26" ht="12.75">
      <c r="A3" t="s">
        <v>4</v>
      </c>
      <c r="B3" t="s">
        <v>10</v>
      </c>
      <c r="G3" t="s">
        <v>8</v>
      </c>
      <c r="H3" t="s">
        <v>18</v>
      </c>
      <c r="I3" t="s">
        <v>49</v>
      </c>
      <c r="J3" t="s">
        <v>60</v>
      </c>
      <c r="K3" t="s">
        <v>65</v>
      </c>
      <c r="L3" s="4" t="s">
        <v>4</v>
      </c>
      <c r="M3" s="2"/>
      <c r="N3" s="2"/>
      <c r="O3" s="2"/>
      <c r="P3" s="2" t="s">
        <v>8</v>
      </c>
      <c r="Q3" s="5" t="s">
        <v>4</v>
      </c>
      <c r="U3" t="s">
        <v>8</v>
      </c>
      <c r="V3" s="4" t="s">
        <v>4</v>
      </c>
      <c r="W3" s="2"/>
      <c r="X3" s="2"/>
      <c r="Y3" s="2"/>
      <c r="Z3" s="2" t="s">
        <v>8</v>
      </c>
    </row>
    <row r="4" spans="1:26" ht="12.75">
      <c r="A4" t="s">
        <v>3</v>
      </c>
      <c r="B4" t="s">
        <v>11</v>
      </c>
      <c r="C4" t="s">
        <v>10</v>
      </c>
      <c r="D4" t="s">
        <v>0</v>
      </c>
      <c r="E4" t="s">
        <v>1</v>
      </c>
      <c r="F4" t="s">
        <v>2</v>
      </c>
      <c r="G4" t="s">
        <v>9</v>
      </c>
      <c r="H4" t="s">
        <v>19</v>
      </c>
      <c r="I4" t="s">
        <v>50</v>
      </c>
      <c r="J4" t="s">
        <v>61</v>
      </c>
      <c r="K4" t="s">
        <v>66</v>
      </c>
      <c r="L4" s="4" t="s">
        <v>3</v>
      </c>
      <c r="M4" s="2" t="s">
        <v>0</v>
      </c>
      <c r="N4" s="2" t="s">
        <v>1</v>
      </c>
      <c r="O4" s="2" t="s">
        <v>2</v>
      </c>
      <c r="P4" s="2" t="s">
        <v>9</v>
      </c>
      <c r="Q4" s="5" t="s">
        <v>3</v>
      </c>
      <c r="R4" t="s">
        <v>0</v>
      </c>
      <c r="S4" t="s">
        <v>1</v>
      </c>
      <c r="T4" t="s">
        <v>2</v>
      </c>
      <c r="U4" t="s">
        <v>9</v>
      </c>
      <c r="V4" s="4" t="s">
        <v>3</v>
      </c>
      <c r="W4" s="2" t="s">
        <v>0</v>
      </c>
      <c r="X4" s="2" t="s">
        <v>1</v>
      </c>
      <c r="Y4" s="2" t="s">
        <v>2</v>
      </c>
      <c r="Z4" s="14" t="s">
        <v>9</v>
      </c>
    </row>
    <row r="5" spans="1:26" ht="12.75">
      <c r="A5">
        <v>0</v>
      </c>
      <c r="B5">
        <v>0</v>
      </c>
      <c r="C5" s="15">
        <v>0</v>
      </c>
      <c r="D5" s="1">
        <f aca="true" t="shared" si="0" ref="D5:D15">E$1*(D$1-A5)/D$1</f>
        <v>20</v>
      </c>
      <c r="E5" s="1">
        <v>0</v>
      </c>
      <c r="F5" s="1">
        <f>IF(D5&lt;$F$2,D5,$F$2-0.5)</f>
        <v>20</v>
      </c>
      <c r="G5" s="1">
        <f aca="true" t="shared" si="1" ref="G5:G15">1.7+0.25*((F5/F$2)/(1-(F5/F$2)))</f>
        <v>1.8</v>
      </c>
      <c r="H5" s="1">
        <f>IF(D5&lt;$F$2,0,D5-$F$2)</f>
        <v>0</v>
      </c>
      <c r="I5" s="1"/>
      <c r="J5" s="1">
        <f>D5*60*$B$2</f>
        <v>6000</v>
      </c>
      <c r="K5" s="1">
        <f>IF((F5-(H$1*F$2))&lt;0,0,F5-(H$1*F$2))</f>
        <v>0</v>
      </c>
      <c r="L5" s="4">
        <v>0</v>
      </c>
      <c r="M5" s="3">
        <f aca="true" t="shared" si="2" ref="M5:M20">N$1*(M$1-L5)/M$1</f>
        <v>20</v>
      </c>
      <c r="N5" s="3">
        <v>0</v>
      </c>
      <c r="O5" s="3">
        <f>M5</f>
        <v>20</v>
      </c>
      <c r="P5" s="3">
        <f aca="true" t="shared" si="3" ref="P5:P20">1.7+0.25*((O5/M$2)/(1-(O5/M$2)))</f>
        <v>1.7909090909090908</v>
      </c>
      <c r="Q5" s="5">
        <v>0</v>
      </c>
      <c r="R5" s="1">
        <f aca="true" t="shared" si="4" ref="R5:R25">S$1*(R$1-Q5)/R$1</f>
        <v>20</v>
      </c>
      <c r="S5" s="1">
        <v>0</v>
      </c>
      <c r="T5" s="1">
        <f>R5</f>
        <v>20</v>
      </c>
      <c r="U5" s="1">
        <f aca="true" t="shared" si="5" ref="U5:U25">1.7+0.25*((T5/R$2)/(1-(T5/R$2)))</f>
        <v>1.7909090909090908</v>
      </c>
      <c r="V5" s="4">
        <v>0</v>
      </c>
      <c r="W5" s="3">
        <f aca="true" t="shared" si="6" ref="W5:W30">X$1*(W$1-V5)/W$1</f>
        <v>25</v>
      </c>
      <c r="X5" s="3">
        <v>0</v>
      </c>
      <c r="Y5" s="3">
        <f>W5</f>
        <v>25</v>
      </c>
      <c r="Z5" s="3">
        <f aca="true" t="shared" si="7" ref="Z5:Z30">1.7+0.25*((Y5/W$2)/(1-(Y5/W$2)))</f>
        <v>1.8041666666666667</v>
      </c>
    </row>
    <row r="6" spans="1:26" ht="12.75">
      <c r="A6">
        <v>1</v>
      </c>
      <c r="B6">
        <v>96</v>
      </c>
      <c r="C6" s="15">
        <f>C5+60+(D5*G5)</f>
        <v>96</v>
      </c>
      <c r="D6" s="1">
        <f t="shared" si="0"/>
        <v>18</v>
      </c>
      <c r="E6" s="1">
        <f aca="true" t="shared" si="8" ref="E6:E15">(A6/D$1)*F5</f>
        <v>2</v>
      </c>
      <c r="F6" s="1">
        <f>IF((F5-E6+D6)&lt;$F$2,F5-E6+D6,$F$2-0.5)</f>
        <v>36</v>
      </c>
      <c r="G6" s="1">
        <f t="shared" si="1"/>
        <v>1.964705882352941</v>
      </c>
      <c r="H6" s="1">
        <f>IF((F5-E6+D6)&lt;$F$2,0,F5-E6+D6-$F$2)</f>
        <v>0</v>
      </c>
      <c r="I6" s="1">
        <f>(C6-C5)*F5</f>
        <v>1920</v>
      </c>
      <c r="J6" s="1">
        <f aca="true" t="shared" si="9" ref="J6:J15">D6*60*$B$2</f>
        <v>5400</v>
      </c>
      <c r="K6" s="1">
        <f aca="true" t="shared" si="10" ref="K6:K15">IF((F6-(H$1*F$2))&lt;0,0,F6-(H$1*F$2))</f>
        <v>1</v>
      </c>
      <c r="L6" s="4">
        <v>1</v>
      </c>
      <c r="M6" s="3">
        <f t="shared" si="2"/>
        <v>18.666666666666668</v>
      </c>
      <c r="N6" s="3">
        <f aca="true" t="shared" si="11" ref="N6:N15">(L6/M$1)*O5</f>
        <v>1.3333333333333333</v>
      </c>
      <c r="O6" s="3">
        <f>O5-N6+M6</f>
        <v>37.333333333333336</v>
      </c>
      <c r="P6" s="3">
        <f t="shared" si="3"/>
        <v>1.9477876106194691</v>
      </c>
      <c r="Q6" s="5">
        <v>1</v>
      </c>
      <c r="R6" s="1">
        <f t="shared" si="4"/>
        <v>19</v>
      </c>
      <c r="S6" s="1">
        <f aca="true" t="shared" si="12" ref="S6:S20">(Q6/R$1)*T5</f>
        <v>1</v>
      </c>
      <c r="T6" s="1">
        <f>T5-S6+R6</f>
        <v>38</v>
      </c>
      <c r="U6" s="1">
        <f t="shared" si="5"/>
        <v>1.9567567567567568</v>
      </c>
      <c r="V6" s="4">
        <v>1</v>
      </c>
      <c r="W6" s="3">
        <f t="shared" si="6"/>
        <v>23.75</v>
      </c>
      <c r="X6" s="3">
        <f aca="true" t="shared" si="13" ref="X6:X25">(V6/W$1)*Y5</f>
        <v>1.25</v>
      </c>
      <c r="Y6" s="3">
        <f>Y5-X6+W6</f>
        <v>47.5</v>
      </c>
      <c r="Z6" s="3">
        <f t="shared" si="7"/>
        <v>2.0166666666666666</v>
      </c>
    </row>
    <row r="7" spans="1:26" ht="12.75">
      <c r="A7">
        <f>A6+1</f>
        <v>2</v>
      </c>
      <c r="B7">
        <v>191</v>
      </c>
      <c r="C7" s="15">
        <f aca="true" t="shared" si="14" ref="C7:C15">C6+60+(D6*G6)</f>
        <v>191.36470588235295</v>
      </c>
      <c r="D7" s="1">
        <f t="shared" si="0"/>
        <v>16</v>
      </c>
      <c r="E7" s="1">
        <f t="shared" si="8"/>
        <v>7.2</v>
      </c>
      <c r="F7" s="1">
        <f aca="true" t="shared" si="15" ref="F7:F15">IF((F6-E7+D7)&lt;$F$2,F6-E7+D7,$F$2-0.5)</f>
        <v>44.8</v>
      </c>
      <c r="G7" s="1">
        <f t="shared" si="1"/>
        <v>2.1444444444444444</v>
      </c>
      <c r="H7" s="1">
        <f aca="true" t="shared" si="16" ref="H7:H15">IF((F6-E7+D7)&lt;$F$2,0,F6-E7+D7-$F$2)</f>
        <v>0</v>
      </c>
      <c r="I7" s="1">
        <f aca="true" t="shared" si="17" ref="I7:I15">(C7-C6)*F6</f>
        <v>3433.129411764706</v>
      </c>
      <c r="J7" s="1">
        <f t="shared" si="9"/>
        <v>4800</v>
      </c>
      <c r="K7" s="1">
        <f t="shared" si="10"/>
        <v>9.799999999999997</v>
      </c>
      <c r="L7" s="4">
        <f>L6+1</f>
        <v>2</v>
      </c>
      <c r="M7" s="3">
        <f t="shared" si="2"/>
        <v>17.333333333333332</v>
      </c>
      <c r="N7" s="3">
        <f t="shared" si="11"/>
        <v>4.977777777777778</v>
      </c>
      <c r="O7" s="3">
        <f aca="true" t="shared" si="18" ref="O7:O15">O6-N7+M7</f>
        <v>49.68888888888888</v>
      </c>
      <c r="P7" s="3">
        <f t="shared" si="3"/>
        <v>2.190781387181738</v>
      </c>
      <c r="Q7" s="5">
        <f>Q6+1</f>
        <v>2</v>
      </c>
      <c r="R7" s="1">
        <f t="shared" si="4"/>
        <v>18</v>
      </c>
      <c r="S7" s="1">
        <f t="shared" si="12"/>
        <v>3.8000000000000003</v>
      </c>
      <c r="T7" s="1">
        <f aca="true" t="shared" si="19" ref="T7:T20">T6-S7+R7</f>
        <v>52.2</v>
      </c>
      <c r="U7" s="1">
        <f t="shared" si="5"/>
        <v>2.2723684210526316</v>
      </c>
      <c r="V7" s="4">
        <f>V6+1</f>
        <v>2</v>
      </c>
      <c r="W7" s="3">
        <f t="shared" si="6"/>
        <v>22.5</v>
      </c>
      <c r="X7" s="3">
        <f t="shared" si="13"/>
        <v>4.75</v>
      </c>
      <c r="Y7" s="3">
        <f aca="true" t="shared" si="20" ref="Y7:Y25">Y6-X7+W7</f>
        <v>65.25</v>
      </c>
      <c r="Z7" s="3">
        <f t="shared" si="7"/>
        <v>2.5259493670886077</v>
      </c>
    </row>
    <row r="8" spans="1:26" ht="12.75">
      <c r="A8">
        <f aca="true" t="shared" si="21" ref="A8:A15">A7+1</f>
        <v>3</v>
      </c>
      <c r="B8">
        <v>284</v>
      </c>
      <c r="C8" s="15">
        <f t="shared" si="14"/>
        <v>285.6758169934641</v>
      </c>
      <c r="D8" s="1">
        <f t="shared" si="0"/>
        <v>14</v>
      </c>
      <c r="E8" s="1">
        <f t="shared" si="8"/>
        <v>13.44</v>
      </c>
      <c r="F8" s="1">
        <f t="shared" si="15"/>
        <v>45.36</v>
      </c>
      <c r="G8" s="1">
        <f t="shared" si="1"/>
        <v>2.1602272727272727</v>
      </c>
      <c r="H8" s="1">
        <f t="shared" si="16"/>
        <v>0</v>
      </c>
      <c r="I8" s="1">
        <f t="shared" si="17"/>
        <v>4225.137777777779</v>
      </c>
      <c r="J8" s="1">
        <f t="shared" si="9"/>
        <v>4200</v>
      </c>
      <c r="K8" s="1">
        <f t="shared" si="10"/>
        <v>10.36</v>
      </c>
      <c r="L8" s="4">
        <f aca="true" t="shared" si="22" ref="L8:L15">L7+1</f>
        <v>3</v>
      </c>
      <c r="M8" s="3">
        <f t="shared" si="2"/>
        <v>16</v>
      </c>
      <c r="N8" s="3">
        <f t="shared" si="11"/>
        <v>9.937777777777777</v>
      </c>
      <c r="O8" s="3">
        <f t="shared" si="18"/>
        <v>55.75111111111111</v>
      </c>
      <c r="P8" s="3">
        <f t="shared" si="3"/>
        <v>2.4240821981066727</v>
      </c>
      <c r="Q8" s="5">
        <f aca="true" t="shared" si="23" ref="Q8:Q20">Q7+1</f>
        <v>3</v>
      </c>
      <c r="R8" s="1">
        <f t="shared" si="4"/>
        <v>17</v>
      </c>
      <c r="S8" s="1">
        <f t="shared" si="12"/>
        <v>7.83</v>
      </c>
      <c r="T8" s="1">
        <f t="shared" si="19"/>
        <v>61.370000000000005</v>
      </c>
      <c r="U8" s="1">
        <f t="shared" si="5"/>
        <v>2.8256419662509176</v>
      </c>
      <c r="V8" s="4">
        <f aca="true" t="shared" si="24" ref="V8:V25">V7+1</f>
        <v>3</v>
      </c>
      <c r="W8" s="3">
        <f t="shared" si="6"/>
        <v>21.25</v>
      </c>
      <c r="X8" s="3">
        <f t="shared" si="13"/>
        <v>9.7875</v>
      </c>
      <c r="Y8" s="3">
        <f t="shared" si="20"/>
        <v>76.7125</v>
      </c>
      <c r="Z8" s="3">
        <f t="shared" si="7"/>
        <v>4.014102564102566</v>
      </c>
    </row>
    <row r="9" spans="1:26" ht="12.75">
      <c r="A9">
        <f t="shared" si="21"/>
        <v>4</v>
      </c>
      <c r="B9">
        <v>373</v>
      </c>
      <c r="C9" s="15">
        <f t="shared" si="14"/>
        <v>375.9189988116459</v>
      </c>
      <c r="D9" s="1">
        <f t="shared" si="0"/>
        <v>12</v>
      </c>
      <c r="E9" s="1">
        <f t="shared" si="8"/>
        <v>18.144000000000002</v>
      </c>
      <c r="F9" s="1">
        <f t="shared" si="15"/>
        <v>39.215999999999994</v>
      </c>
      <c r="G9" s="1">
        <f t="shared" si="1"/>
        <v>2.0184771309771308</v>
      </c>
      <c r="H9" s="1">
        <f t="shared" si="16"/>
        <v>0</v>
      </c>
      <c r="I9" s="1">
        <f t="shared" si="17"/>
        <v>4093.4307272727274</v>
      </c>
      <c r="J9" s="1">
        <f t="shared" si="9"/>
        <v>3600</v>
      </c>
      <c r="K9" s="1">
        <f t="shared" si="10"/>
        <v>4.215999999999994</v>
      </c>
      <c r="L9" s="4">
        <f t="shared" si="22"/>
        <v>4</v>
      </c>
      <c r="M9" s="3">
        <f t="shared" si="2"/>
        <v>14.666666666666666</v>
      </c>
      <c r="N9" s="3">
        <f t="shared" si="11"/>
        <v>14.866962962962962</v>
      </c>
      <c r="O9" s="3">
        <f t="shared" si="18"/>
        <v>55.55081481481481</v>
      </c>
      <c r="P9" s="3">
        <f t="shared" si="3"/>
        <v>2.414050669551042</v>
      </c>
      <c r="Q9" s="5">
        <f t="shared" si="23"/>
        <v>4</v>
      </c>
      <c r="R9" s="1">
        <f t="shared" si="4"/>
        <v>16</v>
      </c>
      <c r="S9" s="1">
        <f t="shared" si="12"/>
        <v>12.274000000000001</v>
      </c>
      <c r="T9" s="1">
        <f t="shared" si="19"/>
        <v>65.096</v>
      </c>
      <c r="U9" s="1">
        <f t="shared" si="5"/>
        <v>3.3431744749596133</v>
      </c>
      <c r="V9" s="4">
        <f t="shared" si="24"/>
        <v>4</v>
      </c>
      <c r="W9" s="3">
        <f t="shared" si="6"/>
        <v>20</v>
      </c>
      <c r="X9" s="3">
        <f t="shared" si="13"/>
        <v>15.342500000000001</v>
      </c>
      <c r="Y9" s="3">
        <f t="shared" si="20"/>
        <v>81.37</v>
      </c>
      <c r="Z9" s="3">
        <f t="shared" si="7"/>
        <v>7.30399449035813</v>
      </c>
    </row>
    <row r="10" spans="1:26" ht="12.75">
      <c r="A10">
        <f t="shared" si="21"/>
        <v>5</v>
      </c>
      <c r="B10">
        <v>457</v>
      </c>
      <c r="C10" s="15">
        <f t="shared" si="14"/>
        <v>460.1407243833715</v>
      </c>
      <c r="D10" s="1">
        <f t="shared" si="0"/>
        <v>10</v>
      </c>
      <c r="E10" s="1">
        <f t="shared" si="8"/>
        <v>19.607999999999997</v>
      </c>
      <c r="F10" s="1">
        <f t="shared" si="15"/>
        <v>29.607999999999997</v>
      </c>
      <c r="G10" s="1">
        <f t="shared" si="1"/>
        <v>1.883254109724698</v>
      </c>
      <c r="H10" s="1">
        <f t="shared" si="16"/>
        <v>0</v>
      </c>
      <c r="I10" s="1">
        <f t="shared" si="17"/>
        <v>3302.83919002079</v>
      </c>
      <c r="J10" s="1">
        <f t="shared" si="9"/>
        <v>3000</v>
      </c>
      <c r="K10" s="1">
        <f t="shared" si="10"/>
        <v>0</v>
      </c>
      <c r="L10" s="4">
        <f t="shared" si="22"/>
        <v>5</v>
      </c>
      <c r="M10" s="3">
        <f t="shared" si="2"/>
        <v>13.333333333333334</v>
      </c>
      <c r="N10" s="3">
        <f t="shared" si="11"/>
        <v>18.516938271604936</v>
      </c>
      <c r="O10" s="3">
        <f t="shared" si="18"/>
        <v>50.36720987654321</v>
      </c>
      <c r="P10" s="3">
        <f t="shared" si="3"/>
        <v>2.2111805201938997</v>
      </c>
      <c r="Q10" s="5">
        <f t="shared" si="23"/>
        <v>5</v>
      </c>
      <c r="R10" s="1">
        <f t="shared" si="4"/>
        <v>15</v>
      </c>
      <c r="S10" s="1">
        <f t="shared" si="12"/>
        <v>16.274</v>
      </c>
      <c r="T10" s="1">
        <f t="shared" si="19"/>
        <v>63.822</v>
      </c>
      <c r="U10" s="1">
        <f t="shared" si="5"/>
        <v>3.127402039720881</v>
      </c>
      <c r="V10" s="4">
        <f t="shared" si="24"/>
        <v>5</v>
      </c>
      <c r="W10" s="3">
        <f t="shared" si="6"/>
        <v>18.75</v>
      </c>
      <c r="X10" s="3">
        <f t="shared" si="13"/>
        <v>20.3425</v>
      </c>
      <c r="Y10" s="3">
        <f t="shared" si="20"/>
        <v>79.7775</v>
      </c>
      <c r="Z10" s="3">
        <f t="shared" si="7"/>
        <v>5.518932503590236</v>
      </c>
    </row>
    <row r="11" spans="1:26" ht="12.75">
      <c r="A11">
        <f t="shared" si="21"/>
        <v>6</v>
      </c>
      <c r="B11">
        <v>535</v>
      </c>
      <c r="C11" s="15">
        <f t="shared" si="14"/>
        <v>538.9732654806185</v>
      </c>
      <c r="D11" s="1">
        <f t="shared" si="0"/>
        <v>8</v>
      </c>
      <c r="E11" s="1">
        <f t="shared" si="8"/>
        <v>17.764799999999997</v>
      </c>
      <c r="F11" s="1">
        <f t="shared" si="15"/>
        <v>19.8432</v>
      </c>
      <c r="G11" s="1">
        <f t="shared" si="1"/>
        <v>1.7989058313130024</v>
      </c>
      <c r="H11" s="1">
        <f t="shared" si="16"/>
        <v>0</v>
      </c>
      <c r="I11" s="1">
        <f t="shared" si="17"/>
        <v>2334.0738768072883</v>
      </c>
      <c r="J11" s="1">
        <f t="shared" si="9"/>
        <v>2400</v>
      </c>
      <c r="K11" s="1">
        <f t="shared" si="10"/>
        <v>0</v>
      </c>
      <c r="L11" s="4">
        <f t="shared" si="22"/>
        <v>6</v>
      </c>
      <c r="M11" s="3">
        <f t="shared" si="2"/>
        <v>12</v>
      </c>
      <c r="N11" s="3">
        <f t="shared" si="11"/>
        <v>20.146883950617283</v>
      </c>
      <c r="O11" s="3">
        <f t="shared" si="18"/>
        <v>42.22032592592592</v>
      </c>
      <c r="P11" s="3">
        <f t="shared" si="3"/>
        <v>2.0220008062810377</v>
      </c>
      <c r="Q11" s="5">
        <f t="shared" si="23"/>
        <v>6</v>
      </c>
      <c r="R11" s="1">
        <f t="shared" si="4"/>
        <v>14</v>
      </c>
      <c r="S11" s="1">
        <f t="shared" si="12"/>
        <v>19.1466</v>
      </c>
      <c r="T11" s="1">
        <f t="shared" si="19"/>
        <v>58.6754</v>
      </c>
      <c r="U11" s="1">
        <f t="shared" si="5"/>
        <v>2.598573318794948</v>
      </c>
      <c r="V11" s="4">
        <f t="shared" si="24"/>
        <v>6</v>
      </c>
      <c r="W11" s="3">
        <f t="shared" si="6"/>
        <v>17.5</v>
      </c>
      <c r="X11" s="3">
        <f t="shared" si="13"/>
        <v>23.93325</v>
      </c>
      <c r="Y11" s="3">
        <f t="shared" si="20"/>
        <v>73.34425</v>
      </c>
      <c r="Z11" s="3">
        <f t="shared" si="7"/>
        <v>3.2731345044291453</v>
      </c>
    </row>
    <row r="12" spans="1:26" ht="12.75">
      <c r="A12">
        <f t="shared" si="21"/>
        <v>7</v>
      </c>
      <c r="B12">
        <v>610</v>
      </c>
      <c r="C12" s="15">
        <f t="shared" si="14"/>
        <v>613.3645121311225</v>
      </c>
      <c r="D12" s="1">
        <f t="shared" si="0"/>
        <v>6</v>
      </c>
      <c r="E12" s="1">
        <f t="shared" si="8"/>
        <v>13.890239999999999</v>
      </c>
      <c r="F12" s="1">
        <f t="shared" si="15"/>
        <v>11.952960000000001</v>
      </c>
      <c r="G12" s="1">
        <f t="shared" si="1"/>
        <v>1.7514796275572364</v>
      </c>
      <c r="H12" s="1">
        <f t="shared" si="16"/>
        <v>0</v>
      </c>
      <c r="I12" s="1">
        <f t="shared" si="17"/>
        <v>1476.160385535282</v>
      </c>
      <c r="J12" s="1">
        <f t="shared" si="9"/>
        <v>1800</v>
      </c>
      <c r="K12" s="1">
        <f t="shared" si="10"/>
        <v>0</v>
      </c>
      <c r="L12" s="4">
        <f t="shared" si="22"/>
        <v>7</v>
      </c>
      <c r="M12" s="3">
        <f t="shared" si="2"/>
        <v>10.666666666666666</v>
      </c>
      <c r="N12" s="3">
        <f t="shared" si="11"/>
        <v>19.702818765432095</v>
      </c>
      <c r="O12" s="3">
        <f t="shared" si="18"/>
        <v>33.18417382716049</v>
      </c>
      <c r="P12" s="3">
        <f t="shared" si="3"/>
        <v>1.898394823589032</v>
      </c>
      <c r="Q12" s="5">
        <f t="shared" si="23"/>
        <v>7</v>
      </c>
      <c r="R12" s="1">
        <f t="shared" si="4"/>
        <v>13</v>
      </c>
      <c r="S12" s="1">
        <f t="shared" si="12"/>
        <v>20.53639</v>
      </c>
      <c r="T12" s="1">
        <f t="shared" si="19"/>
        <v>51.13901</v>
      </c>
      <c r="U12" s="1">
        <f t="shared" si="5"/>
        <v>2.2358014273506672</v>
      </c>
      <c r="V12" s="4">
        <f t="shared" si="24"/>
        <v>7</v>
      </c>
      <c r="W12" s="3">
        <f t="shared" si="6"/>
        <v>16.25</v>
      </c>
      <c r="X12" s="3">
        <f t="shared" si="13"/>
        <v>25.6704875</v>
      </c>
      <c r="Y12" s="3">
        <f t="shared" si="20"/>
        <v>63.9237625</v>
      </c>
      <c r="Z12" s="3">
        <f t="shared" si="7"/>
        <v>2.4582444743754666</v>
      </c>
    </row>
    <row r="13" spans="1:26" ht="12.75">
      <c r="A13">
        <f t="shared" si="21"/>
        <v>8</v>
      </c>
      <c r="B13">
        <v>680</v>
      </c>
      <c r="C13" s="15">
        <f t="shared" si="14"/>
        <v>683.8733898964659</v>
      </c>
      <c r="D13" s="1">
        <f t="shared" si="0"/>
        <v>4</v>
      </c>
      <c r="E13" s="1">
        <f t="shared" si="8"/>
        <v>9.562368000000001</v>
      </c>
      <c r="F13" s="1">
        <f t="shared" si="15"/>
        <v>6.390592</v>
      </c>
      <c r="G13" s="1">
        <f t="shared" si="1"/>
        <v>1.725116536220554</v>
      </c>
      <c r="H13" s="1">
        <f t="shared" si="16"/>
        <v>0</v>
      </c>
      <c r="I13" s="1">
        <f t="shared" si="17"/>
        <v>842.7897955740393</v>
      </c>
      <c r="J13" s="1">
        <f t="shared" si="9"/>
        <v>1200</v>
      </c>
      <c r="K13" s="1">
        <f t="shared" si="10"/>
        <v>0</v>
      </c>
      <c r="L13" s="4">
        <f t="shared" si="22"/>
        <v>8</v>
      </c>
      <c r="M13" s="3">
        <f t="shared" si="2"/>
        <v>9.333333333333334</v>
      </c>
      <c r="N13" s="3">
        <f t="shared" si="11"/>
        <v>17.698226041152264</v>
      </c>
      <c r="O13" s="3">
        <f t="shared" si="18"/>
        <v>24.81928111934156</v>
      </c>
      <c r="P13" s="3">
        <f t="shared" si="3"/>
        <v>1.823649489649439</v>
      </c>
      <c r="Q13" s="5">
        <f t="shared" si="23"/>
        <v>8</v>
      </c>
      <c r="R13" s="1">
        <f t="shared" si="4"/>
        <v>12</v>
      </c>
      <c r="S13" s="1">
        <f t="shared" si="12"/>
        <v>20.455604</v>
      </c>
      <c r="T13" s="1">
        <f t="shared" si="19"/>
        <v>42.683406</v>
      </c>
      <c r="U13" s="1">
        <f t="shared" si="5"/>
        <v>2.0301972819289062</v>
      </c>
      <c r="V13" s="4">
        <f t="shared" si="24"/>
        <v>8</v>
      </c>
      <c r="W13" s="3">
        <f t="shared" si="6"/>
        <v>15</v>
      </c>
      <c r="X13" s="3">
        <f t="shared" si="13"/>
        <v>25.569505000000003</v>
      </c>
      <c r="Y13" s="3">
        <f t="shared" si="20"/>
        <v>53.3542575</v>
      </c>
      <c r="Z13" s="3">
        <f t="shared" si="7"/>
        <v>2.1214963316155404</v>
      </c>
    </row>
    <row r="14" spans="1:26" ht="12.75">
      <c r="A14">
        <f t="shared" si="21"/>
        <v>9</v>
      </c>
      <c r="B14">
        <v>747</v>
      </c>
      <c r="C14" s="15">
        <f t="shared" si="14"/>
        <v>750.7738560413482</v>
      </c>
      <c r="D14" s="1">
        <f t="shared" si="0"/>
        <v>2</v>
      </c>
      <c r="E14" s="1">
        <f t="shared" si="8"/>
        <v>5.7515328</v>
      </c>
      <c r="F14" s="1">
        <f t="shared" si="15"/>
        <v>2.6390592</v>
      </c>
      <c r="G14" s="1">
        <f t="shared" si="1"/>
        <v>1.7097944712791184</v>
      </c>
      <c r="H14" s="1">
        <f t="shared" si="16"/>
        <v>0</v>
      </c>
      <c r="I14" s="1">
        <f t="shared" si="17"/>
        <v>427.53358374175514</v>
      </c>
      <c r="J14" s="1">
        <f t="shared" si="9"/>
        <v>600</v>
      </c>
      <c r="K14" s="1">
        <f t="shared" si="10"/>
        <v>0</v>
      </c>
      <c r="L14" s="4">
        <f t="shared" si="22"/>
        <v>9</v>
      </c>
      <c r="M14" s="3">
        <f t="shared" si="2"/>
        <v>8</v>
      </c>
      <c r="N14" s="3">
        <f t="shared" si="11"/>
        <v>14.891568671604936</v>
      </c>
      <c r="O14" s="3">
        <f t="shared" si="18"/>
        <v>17.927712447736624</v>
      </c>
      <c r="P14" s="3">
        <f t="shared" si="3"/>
        <v>1.778530724878162</v>
      </c>
      <c r="Q14" s="5">
        <f t="shared" si="23"/>
        <v>9</v>
      </c>
      <c r="R14" s="1">
        <f t="shared" si="4"/>
        <v>11</v>
      </c>
      <c r="S14" s="1">
        <f t="shared" si="12"/>
        <v>19.207532699999998</v>
      </c>
      <c r="T14" s="1">
        <f t="shared" si="19"/>
        <v>34.4758733</v>
      </c>
      <c r="U14" s="1">
        <f t="shared" si="5"/>
        <v>1.9126873304095162</v>
      </c>
      <c r="V14" s="4">
        <f t="shared" si="24"/>
        <v>9</v>
      </c>
      <c r="W14" s="3">
        <f t="shared" si="6"/>
        <v>13.75</v>
      </c>
      <c r="X14" s="3">
        <f t="shared" si="13"/>
        <v>24.009415875000002</v>
      </c>
      <c r="Y14" s="3">
        <f t="shared" si="20"/>
        <v>43.094841625</v>
      </c>
      <c r="Z14" s="3">
        <f t="shared" si="7"/>
        <v>1.9570974749656938</v>
      </c>
    </row>
    <row r="15" spans="1:26" ht="12.75">
      <c r="A15">
        <f t="shared" si="21"/>
        <v>10</v>
      </c>
      <c r="B15">
        <v>810</v>
      </c>
      <c r="C15" s="15">
        <f t="shared" si="14"/>
        <v>814.1934449839064</v>
      </c>
      <c r="D15" s="1">
        <f t="shared" si="0"/>
        <v>0</v>
      </c>
      <c r="E15" s="1">
        <f t="shared" si="8"/>
        <v>2.6390592</v>
      </c>
      <c r="F15" s="1">
        <f t="shared" si="15"/>
        <v>0</v>
      </c>
      <c r="G15" s="1">
        <f t="shared" si="1"/>
        <v>1.7</v>
      </c>
      <c r="H15" s="1">
        <f t="shared" si="16"/>
        <v>0</v>
      </c>
      <c r="I15" s="1">
        <f t="shared" si="17"/>
        <v>167.36804965907655</v>
      </c>
      <c r="J15" s="1">
        <f t="shared" si="9"/>
        <v>0</v>
      </c>
      <c r="K15" s="1">
        <f t="shared" si="10"/>
        <v>0</v>
      </c>
      <c r="L15" s="4">
        <f t="shared" si="22"/>
        <v>10</v>
      </c>
      <c r="M15" s="3">
        <f t="shared" si="2"/>
        <v>6.666666666666667</v>
      </c>
      <c r="N15" s="3">
        <f t="shared" si="11"/>
        <v>11.951808298491082</v>
      </c>
      <c r="O15" s="3">
        <f t="shared" si="18"/>
        <v>12.642570815912208</v>
      </c>
      <c r="P15" s="3">
        <f t="shared" si="3"/>
        <v>1.7506859045559333</v>
      </c>
      <c r="Q15" s="5">
        <f t="shared" si="23"/>
        <v>10</v>
      </c>
      <c r="R15" s="1">
        <f t="shared" si="4"/>
        <v>10</v>
      </c>
      <c r="S15" s="1">
        <f t="shared" si="12"/>
        <v>17.23793665</v>
      </c>
      <c r="T15" s="1">
        <f t="shared" si="19"/>
        <v>27.23793665</v>
      </c>
      <c r="U15" s="1">
        <f t="shared" si="5"/>
        <v>1.8425709796622511</v>
      </c>
      <c r="V15" s="4">
        <f t="shared" si="24"/>
        <v>10</v>
      </c>
      <c r="W15" s="3">
        <f t="shared" si="6"/>
        <v>12.5</v>
      </c>
      <c r="X15" s="3">
        <f t="shared" si="13"/>
        <v>21.5474208125</v>
      </c>
      <c r="Y15" s="3">
        <f t="shared" si="20"/>
        <v>34.0474208125</v>
      </c>
      <c r="Z15" s="3">
        <f t="shared" si="7"/>
        <v>1.8670544521760575</v>
      </c>
    </row>
    <row r="16" spans="9:26" ht="13.5" thickBot="1">
      <c r="I16" s="1">
        <f>SUM(I6:I15)</f>
        <v>22222.462798153443</v>
      </c>
      <c r="J16" s="1">
        <f>SUM(J5:J15)</f>
        <v>33000</v>
      </c>
      <c r="K16" s="1">
        <f>(SUM(K5:K15))/$D$1</f>
        <v>2.537599999999999</v>
      </c>
      <c r="L16" s="4">
        <f>L15+1</f>
        <v>11</v>
      </c>
      <c r="M16" s="3">
        <f t="shared" si="2"/>
        <v>5.333333333333333</v>
      </c>
      <c r="N16" s="3">
        <f>(L16/M$1)*O15</f>
        <v>9.271218598335619</v>
      </c>
      <c r="O16" s="3">
        <f>O15-N16+M16</f>
        <v>8.704685550909922</v>
      </c>
      <c r="P16" s="3">
        <f t="shared" si="3"/>
        <v>1.732825417690697</v>
      </c>
      <c r="Q16" s="5">
        <f t="shared" si="23"/>
        <v>11</v>
      </c>
      <c r="R16" s="1">
        <f t="shared" si="4"/>
        <v>9</v>
      </c>
      <c r="S16" s="1">
        <f t="shared" si="12"/>
        <v>14.980865157500002</v>
      </c>
      <c r="T16" s="1">
        <f t="shared" si="19"/>
        <v>21.2570714925</v>
      </c>
      <c r="U16" s="1">
        <f t="shared" si="5"/>
        <v>1.7988831092891295</v>
      </c>
      <c r="V16" s="4">
        <f t="shared" si="24"/>
        <v>11</v>
      </c>
      <c r="W16" s="3">
        <f t="shared" si="6"/>
        <v>11.25</v>
      </c>
      <c r="X16" s="3">
        <f t="shared" si="13"/>
        <v>18.726081446875003</v>
      </c>
      <c r="Y16" s="3">
        <f t="shared" si="20"/>
        <v>26.571339365624997</v>
      </c>
      <c r="Z16" s="3">
        <f t="shared" si="7"/>
        <v>1.8136913762746447</v>
      </c>
    </row>
    <row r="17" spans="1:26" ht="14.25" thickBot="1" thickTop="1">
      <c r="A17">
        <v>1</v>
      </c>
      <c r="B17" t="s">
        <v>10</v>
      </c>
      <c r="C17" s="17" t="s">
        <v>16</v>
      </c>
      <c r="D17" s="18">
        <f>comm!D22</f>
        <v>90</v>
      </c>
      <c r="E17" s="19" t="s">
        <v>17</v>
      </c>
      <c r="F17" s="20">
        <f>((60*$B$2)+($D$17))/(60*$B$2)</f>
        <v>1.3</v>
      </c>
      <c r="G17" t="s">
        <v>8</v>
      </c>
      <c r="L17" s="4">
        <f>L16+1</f>
        <v>12</v>
      </c>
      <c r="M17" s="3">
        <f t="shared" si="2"/>
        <v>4</v>
      </c>
      <c r="N17" s="3">
        <f>(L17/M$1)*O16</f>
        <v>6.9637484407279375</v>
      </c>
      <c r="O17" s="3">
        <f>O16-N17+M17</f>
        <v>5.740937110181984</v>
      </c>
      <c r="P17" s="3">
        <f t="shared" si="3"/>
        <v>1.7207226927085162</v>
      </c>
      <c r="Q17" s="5">
        <f t="shared" si="23"/>
        <v>12</v>
      </c>
      <c r="R17" s="1">
        <f t="shared" si="4"/>
        <v>8</v>
      </c>
      <c r="S17" s="1">
        <f t="shared" si="12"/>
        <v>12.7542428955</v>
      </c>
      <c r="T17" s="1">
        <f t="shared" si="19"/>
        <v>16.502828597</v>
      </c>
      <c r="U17" s="1">
        <f t="shared" si="5"/>
        <v>1.770528318725483</v>
      </c>
      <c r="V17" s="4">
        <f t="shared" si="24"/>
        <v>12</v>
      </c>
      <c r="W17" s="3">
        <f t="shared" si="6"/>
        <v>10</v>
      </c>
      <c r="X17" s="3">
        <f t="shared" si="13"/>
        <v>15.942803619374997</v>
      </c>
      <c r="Y17" s="3">
        <f t="shared" si="20"/>
        <v>20.62853574625</v>
      </c>
      <c r="Z17" s="3">
        <f t="shared" si="7"/>
        <v>1.7801152186974225</v>
      </c>
    </row>
    <row r="18" spans="1:26" ht="13.5" thickTop="1">
      <c r="A18" t="s">
        <v>4</v>
      </c>
      <c r="B18" t="s">
        <v>11</v>
      </c>
      <c r="C18" t="s">
        <v>10</v>
      </c>
      <c r="D18" t="s">
        <v>0</v>
      </c>
      <c r="E18" t="s">
        <v>1</v>
      </c>
      <c r="F18" t="s">
        <v>2</v>
      </c>
      <c r="G18" t="s">
        <v>9</v>
      </c>
      <c r="L18" s="4">
        <f>L17+1</f>
        <v>13</v>
      </c>
      <c r="M18" s="3">
        <f t="shared" si="2"/>
        <v>2.6666666666666665</v>
      </c>
      <c r="N18" s="3">
        <f>(L18/M$1)*O17</f>
        <v>4.975478828824387</v>
      </c>
      <c r="O18" s="3">
        <f>O17-N18+M18</f>
        <v>3.432124948024264</v>
      </c>
      <c r="P18" s="3">
        <f t="shared" si="3"/>
        <v>1.7119890556535726</v>
      </c>
      <c r="Q18" s="5">
        <f t="shared" si="23"/>
        <v>13</v>
      </c>
      <c r="R18" s="1">
        <f t="shared" si="4"/>
        <v>7</v>
      </c>
      <c r="S18" s="1">
        <f t="shared" si="12"/>
        <v>10.72683858805</v>
      </c>
      <c r="T18" s="1">
        <f t="shared" si="19"/>
        <v>12.77599000895</v>
      </c>
      <c r="U18" s="1">
        <f t="shared" si="5"/>
        <v>1.7513306278829812</v>
      </c>
      <c r="V18" s="4">
        <f t="shared" si="24"/>
        <v>13</v>
      </c>
      <c r="W18" s="3">
        <f t="shared" si="6"/>
        <v>8.75</v>
      </c>
      <c r="X18" s="3">
        <f t="shared" si="13"/>
        <v>13.4085482350625</v>
      </c>
      <c r="Y18" s="3">
        <f t="shared" si="20"/>
        <v>15.969987511187501</v>
      </c>
      <c r="Z18" s="3">
        <f t="shared" si="7"/>
        <v>1.757837116550485</v>
      </c>
    </row>
    <row r="19" spans="1:26" ht="12.75">
      <c r="A19">
        <v>0</v>
      </c>
      <c r="B19">
        <f>B5+60*$B$2</f>
        <v>300</v>
      </c>
      <c r="C19" s="15">
        <f>IF((C$5+A17*$B$2*60+$D17)&lt;C5,C5,C$5+A17*$B$2*60+$D17)</f>
        <v>390</v>
      </c>
      <c r="D19" s="1">
        <f>(E$1*(D$1-A19)/D$1)*((C19-C5)/(60*$B$2))</f>
        <v>26</v>
      </c>
      <c r="E19" s="1">
        <v>0</v>
      </c>
      <c r="F19" s="1">
        <f>IF((H5+D19)&lt;$F$2,H5+D19,$F$2-0.5)</f>
        <v>26</v>
      </c>
      <c r="G19" s="1">
        <f aca="true" t="shared" si="25" ref="G19:G29">1.7+0.25*((F19/F$2)/(1-(F19/F$2)))</f>
        <v>1.8477272727272727</v>
      </c>
      <c r="H19" s="1">
        <f>IF(H5+D19&lt;$F$2,0,H5+D19-$F$2)</f>
        <v>0</v>
      </c>
      <c r="I19" s="1"/>
      <c r="J19" s="1">
        <f>(C19-C5)*D19</f>
        <v>10140</v>
      </c>
      <c r="K19" s="1">
        <f aca="true" t="shared" si="26" ref="K19:K29">IF((F19-(H$1*F$2))&lt;0,0,F19-(H$1*F$2))</f>
        <v>0</v>
      </c>
      <c r="L19" s="4">
        <f>L18+1</f>
        <v>14</v>
      </c>
      <c r="M19" s="3">
        <f t="shared" si="2"/>
        <v>1.3333333333333333</v>
      </c>
      <c r="N19" s="3">
        <f>(L19/M$1)*O18</f>
        <v>3.20331661815598</v>
      </c>
      <c r="O19" s="3">
        <f>O18-N19+M19</f>
        <v>1.5621416632016174</v>
      </c>
      <c r="P19" s="3">
        <f t="shared" si="3"/>
        <v>1.7053179031176173</v>
      </c>
      <c r="Q19" s="5">
        <f t="shared" si="23"/>
        <v>14</v>
      </c>
      <c r="R19" s="1">
        <f t="shared" si="4"/>
        <v>6</v>
      </c>
      <c r="S19" s="1">
        <f t="shared" si="12"/>
        <v>8.943193006265</v>
      </c>
      <c r="T19" s="1">
        <f t="shared" si="19"/>
        <v>9.832797002685</v>
      </c>
      <c r="U19" s="1">
        <f t="shared" si="5"/>
        <v>1.7377214171793214</v>
      </c>
      <c r="V19" s="4">
        <f t="shared" si="24"/>
        <v>14</v>
      </c>
      <c r="W19" s="3">
        <f t="shared" si="6"/>
        <v>7.5</v>
      </c>
      <c r="X19" s="3">
        <f t="shared" si="13"/>
        <v>11.17899125783125</v>
      </c>
      <c r="Y19" s="3">
        <f t="shared" si="20"/>
        <v>12.290996253356251</v>
      </c>
      <c r="Z19" s="3">
        <f t="shared" si="7"/>
        <v>1.742260915498803</v>
      </c>
    </row>
    <row r="20" spans="1:26" ht="12.75">
      <c r="A20">
        <v>1</v>
      </c>
      <c r="B20">
        <f aca="true" t="shared" si="27" ref="B20:B29">B6+60*$B$2</f>
        <v>396</v>
      </c>
      <c r="C20" s="15">
        <f>IF((C19+60+(D19*G19))&lt;C6,C6,C19+60+(D19*G19))</f>
        <v>498.0409090909091</v>
      </c>
      <c r="D20" s="1">
        <f aca="true" t="shared" si="28" ref="D20:D29">(E$1*(D$1-A20)/D$1)*((C20-C6)/(60*$B$2))</f>
        <v>24.122454545454545</v>
      </c>
      <c r="E20" s="1">
        <f aca="true" t="shared" si="29" ref="E20:E29">(A20/D$1)*F19</f>
        <v>2.6</v>
      </c>
      <c r="F20" s="1">
        <f>IF((H6+F19-E20+D20)&lt;$F$2,H6+F19-E20+D20,$F$2-0.5)</f>
        <v>47.52245454545454</v>
      </c>
      <c r="G20" s="1">
        <f t="shared" si="25"/>
        <v>2.2285547596995787</v>
      </c>
      <c r="H20" s="1">
        <f>IF((H6+F19-E20+D20)&lt;$F$2,0,H6+F19-E20+D20-$F$2)</f>
        <v>0</v>
      </c>
      <c r="I20" s="1">
        <f aca="true" t="shared" si="30" ref="I20:I29">(C20-C19)*F19</f>
        <v>2809.0636363636368</v>
      </c>
      <c r="J20" s="1">
        <f aca="true" t="shared" si="31" ref="J20:J29">(C20-C6)*D20</f>
        <v>9698.213554958678</v>
      </c>
      <c r="K20" s="1">
        <f t="shared" si="26"/>
        <v>12.522454545454544</v>
      </c>
      <c r="L20" s="4">
        <f>L19+1</f>
        <v>15</v>
      </c>
      <c r="M20" s="3">
        <f t="shared" si="2"/>
        <v>0</v>
      </c>
      <c r="N20" s="3">
        <f>(L20/M$1)*O19</f>
        <v>1.5621416632016174</v>
      </c>
      <c r="O20" s="3">
        <f>O19-N20+M20</f>
        <v>0</v>
      </c>
      <c r="P20" s="3">
        <f t="shared" si="3"/>
        <v>1.7</v>
      </c>
      <c r="Q20" s="5">
        <f t="shared" si="23"/>
        <v>15</v>
      </c>
      <c r="R20" s="1">
        <f t="shared" si="4"/>
        <v>5</v>
      </c>
      <c r="S20" s="1">
        <f t="shared" si="12"/>
        <v>7.3745977520137505</v>
      </c>
      <c r="T20" s="1">
        <f t="shared" si="19"/>
        <v>7.45819925067125</v>
      </c>
      <c r="U20" s="1">
        <f t="shared" si="5"/>
        <v>1.7276058646938923</v>
      </c>
      <c r="V20" s="4">
        <f t="shared" si="24"/>
        <v>15</v>
      </c>
      <c r="W20" s="3">
        <f t="shared" si="6"/>
        <v>6.25</v>
      </c>
      <c r="X20" s="3">
        <f t="shared" si="13"/>
        <v>9.218247190017188</v>
      </c>
      <c r="Y20" s="3">
        <f t="shared" si="20"/>
        <v>9.322749063339064</v>
      </c>
      <c r="Z20" s="3">
        <f t="shared" si="7"/>
        <v>1.730797726357495</v>
      </c>
    </row>
    <row r="21" spans="1:26" ht="12.75">
      <c r="A21">
        <f>A20+1</f>
        <v>2</v>
      </c>
      <c r="B21">
        <f t="shared" si="27"/>
        <v>491</v>
      </c>
      <c r="C21" s="15">
        <f aca="true" t="shared" si="32" ref="C21:C29">IF((C20+60+(D20*G20))&lt;C7,C7,C20+60+(D20*G20))</f>
        <v>611.7991199838185</v>
      </c>
      <c r="D21" s="1">
        <f t="shared" si="28"/>
        <v>22.423168752078162</v>
      </c>
      <c r="E21" s="1">
        <f t="shared" si="29"/>
        <v>9.50449090909091</v>
      </c>
      <c r="F21" s="1">
        <f aca="true" t="shared" si="33" ref="F21:F29">IF((H7+F20-E21+D21)&lt;$F$2,H7+F20-E21+D21,$F$2-0.5)</f>
        <v>60.441132388441794</v>
      </c>
      <c r="G21" s="1">
        <f t="shared" si="25"/>
        <v>3.280760787903338</v>
      </c>
      <c r="H21" s="1">
        <f aca="true" t="shared" si="34" ref="H21:H29">IF((H7+F20-E21+D21)&lt;$F$2,0,H7+F20-E21+D21-$F$2)</f>
        <v>0</v>
      </c>
      <c r="I21" s="1">
        <f t="shared" si="30"/>
        <v>5406.069406330519</v>
      </c>
      <c r="J21" s="1">
        <f t="shared" si="31"/>
        <v>9427.471816578272</v>
      </c>
      <c r="K21" s="1">
        <f t="shared" si="26"/>
        <v>25.441132388441794</v>
      </c>
      <c r="Q21" s="5">
        <f>Q20+1</f>
        <v>16</v>
      </c>
      <c r="R21" s="1">
        <f t="shared" si="4"/>
        <v>4</v>
      </c>
      <c r="S21" s="1">
        <f>(Q21/R$1)*T20</f>
        <v>5.966559400537</v>
      </c>
      <c r="T21" s="1">
        <f>T20-S21+R21</f>
        <v>5.491639850134249</v>
      </c>
      <c r="U21" s="1">
        <f t="shared" si="5"/>
        <v>1.7197517242468885</v>
      </c>
      <c r="V21" s="4">
        <f t="shared" si="24"/>
        <v>16</v>
      </c>
      <c r="W21" s="3">
        <f t="shared" si="6"/>
        <v>5</v>
      </c>
      <c r="X21" s="3">
        <f t="shared" si="13"/>
        <v>7.458199250671251</v>
      </c>
      <c r="Y21" s="3">
        <f t="shared" si="20"/>
        <v>6.864549812667812</v>
      </c>
      <c r="Z21" s="3">
        <f t="shared" si="7"/>
        <v>1.7219636214938605</v>
      </c>
    </row>
    <row r="22" spans="1:26" ht="12.75">
      <c r="A22">
        <f aca="true" t="shared" si="35" ref="A22:A29">A21+1</f>
        <v>3</v>
      </c>
      <c r="B22">
        <f t="shared" si="27"/>
        <v>584</v>
      </c>
      <c r="C22" s="15">
        <f t="shared" si="32"/>
        <v>745.364172766176</v>
      </c>
      <c r="D22" s="1">
        <f t="shared" si="28"/>
        <v>21.452123269393223</v>
      </c>
      <c r="E22" s="1">
        <f t="shared" si="29"/>
        <v>18.132339716532538</v>
      </c>
      <c r="F22" s="1">
        <f t="shared" si="33"/>
        <v>63.760915941302486</v>
      </c>
      <c r="G22" s="1">
        <f t="shared" si="25"/>
        <v>4.254898897876579</v>
      </c>
      <c r="H22" s="1">
        <f t="shared" si="34"/>
        <v>0</v>
      </c>
      <c r="I22" s="1">
        <f t="shared" si="30"/>
        <v>8072.823037687685</v>
      </c>
      <c r="J22" s="1">
        <f t="shared" si="31"/>
        <v>9861.291273540905</v>
      </c>
      <c r="K22" s="1">
        <f t="shared" si="26"/>
        <v>28.760915941302486</v>
      </c>
      <c r="Q22" s="5">
        <f>Q21+1</f>
        <v>17</v>
      </c>
      <c r="R22" s="1">
        <f t="shared" si="4"/>
        <v>3</v>
      </c>
      <c r="S22" s="1">
        <f>(Q22/R$1)*T21</f>
        <v>4.667893872614112</v>
      </c>
      <c r="T22" s="1">
        <f>T21-S22+R22</f>
        <v>3.8237459775201375</v>
      </c>
      <c r="U22" s="1">
        <f t="shared" si="5"/>
        <v>1.713430553595559</v>
      </c>
      <c r="V22" s="4">
        <f t="shared" si="24"/>
        <v>17</v>
      </c>
      <c r="W22" s="3">
        <f t="shared" si="6"/>
        <v>3.75</v>
      </c>
      <c r="X22" s="3">
        <f t="shared" si="13"/>
        <v>5.834867340767641</v>
      </c>
      <c r="Y22" s="3">
        <f t="shared" si="20"/>
        <v>4.779682471900172</v>
      </c>
      <c r="Z22" s="3">
        <f t="shared" si="7"/>
        <v>1.7148954860164507</v>
      </c>
    </row>
    <row r="23" spans="1:26" ht="12.75">
      <c r="A23">
        <f t="shared" si="35"/>
        <v>4</v>
      </c>
      <c r="B23">
        <f t="shared" si="27"/>
        <v>673</v>
      </c>
      <c r="C23" s="15">
        <f t="shared" si="32"/>
        <v>896.6407884222298</v>
      </c>
      <c r="D23" s="1">
        <f t="shared" si="28"/>
        <v>20.828871584423354</v>
      </c>
      <c r="E23" s="1">
        <f t="shared" si="29"/>
        <v>25.504366376520995</v>
      </c>
      <c r="F23" s="1">
        <f t="shared" si="33"/>
        <v>59.08542114920485</v>
      </c>
      <c r="G23" s="1">
        <f t="shared" si="25"/>
        <v>3.0533600782246477</v>
      </c>
      <c r="H23" s="1">
        <f t="shared" si="34"/>
        <v>0</v>
      </c>
      <c r="I23" s="1">
        <f t="shared" si="30"/>
        <v>9645.535574730367</v>
      </c>
      <c r="J23" s="1">
        <f t="shared" si="31"/>
        <v>10846.047287009966</v>
      </c>
      <c r="K23" s="1">
        <f t="shared" si="26"/>
        <v>24.085421149204848</v>
      </c>
      <c r="Q23" s="5">
        <f>Q22+1</f>
        <v>18</v>
      </c>
      <c r="R23" s="1">
        <f t="shared" si="4"/>
        <v>2</v>
      </c>
      <c r="S23" s="1">
        <f>(Q23/R$1)*T22</f>
        <v>3.441371379768124</v>
      </c>
      <c r="T23" s="1">
        <f>T22-S23+R23</f>
        <v>2.3823745977520137</v>
      </c>
      <c r="U23" s="1">
        <f t="shared" si="5"/>
        <v>1.7082017780964174</v>
      </c>
      <c r="V23" s="4">
        <f t="shared" si="24"/>
        <v>18</v>
      </c>
      <c r="W23" s="3">
        <f t="shared" si="6"/>
        <v>2.5</v>
      </c>
      <c r="X23" s="3">
        <f t="shared" si="13"/>
        <v>4.301714224710155</v>
      </c>
      <c r="Y23" s="3">
        <f t="shared" si="20"/>
        <v>2.9779682471900166</v>
      </c>
      <c r="Z23" s="3">
        <f t="shared" si="7"/>
        <v>1.7090767327495762</v>
      </c>
    </row>
    <row r="24" spans="1:26" ht="12.75">
      <c r="A24">
        <f t="shared" si="35"/>
        <v>5</v>
      </c>
      <c r="B24">
        <f t="shared" si="27"/>
        <v>757</v>
      </c>
      <c r="C24" s="15">
        <f t="shared" si="32"/>
        <v>1020.2388333925758</v>
      </c>
      <c r="D24" s="1">
        <f t="shared" si="28"/>
        <v>18.669936966973477</v>
      </c>
      <c r="E24" s="1">
        <f t="shared" si="29"/>
        <v>29.542710574602424</v>
      </c>
      <c r="F24" s="1">
        <f t="shared" si="33"/>
        <v>48.212647541575905</v>
      </c>
      <c r="G24" s="1">
        <f t="shared" si="25"/>
        <v>2.2532182906754974</v>
      </c>
      <c r="H24" s="1">
        <f t="shared" si="34"/>
        <v>0</v>
      </c>
      <c r="I24" s="1">
        <f t="shared" si="30"/>
        <v>7302.8425402912535</v>
      </c>
      <c r="J24" s="1">
        <f t="shared" si="31"/>
        <v>10456.996390522885</v>
      </c>
      <c r="K24" s="1">
        <f t="shared" si="26"/>
        <v>13.212647541575905</v>
      </c>
      <c r="Q24" s="5">
        <f>Q23+1</f>
        <v>19</v>
      </c>
      <c r="R24" s="1">
        <f t="shared" si="4"/>
        <v>1</v>
      </c>
      <c r="S24" s="1">
        <f>(Q24/R$1)*T23</f>
        <v>2.263255867864413</v>
      </c>
      <c r="T24" s="1">
        <f>T23-S24+R24</f>
        <v>1.1191187298876009</v>
      </c>
      <c r="U24" s="1">
        <f t="shared" si="5"/>
        <v>1.7037869023441803</v>
      </c>
      <c r="V24" s="4">
        <f t="shared" si="24"/>
        <v>19</v>
      </c>
      <c r="W24" s="3">
        <f t="shared" si="6"/>
        <v>1.25</v>
      </c>
      <c r="X24" s="3">
        <f t="shared" si="13"/>
        <v>2.829069834830516</v>
      </c>
      <c r="Y24" s="3">
        <f t="shared" si="20"/>
        <v>1.3988984123595007</v>
      </c>
      <c r="Z24" s="3">
        <f t="shared" si="7"/>
        <v>1.704183253527147</v>
      </c>
    </row>
    <row r="25" spans="1:26" ht="12.75">
      <c r="A25">
        <f t="shared" si="35"/>
        <v>6</v>
      </c>
      <c r="B25">
        <f t="shared" si="27"/>
        <v>835</v>
      </c>
      <c r="C25" s="15">
        <f t="shared" si="32"/>
        <v>1122.3062768523191</v>
      </c>
      <c r="D25" s="1">
        <f t="shared" si="28"/>
        <v>15.555546969912017</v>
      </c>
      <c r="E25" s="1">
        <f t="shared" si="29"/>
        <v>28.92758852494554</v>
      </c>
      <c r="F25" s="1">
        <f t="shared" si="33"/>
        <v>34.84060598654238</v>
      </c>
      <c r="G25" s="1">
        <f t="shared" si="25"/>
        <v>1.9477332656331248</v>
      </c>
      <c r="H25" s="1">
        <f t="shared" si="34"/>
        <v>0</v>
      </c>
      <c r="I25" s="1">
        <f t="shared" si="30"/>
        <v>4920.941676994333</v>
      </c>
      <c r="J25" s="1">
        <f t="shared" si="31"/>
        <v>9074.064057492711</v>
      </c>
      <c r="K25" s="1">
        <f t="shared" si="26"/>
        <v>0</v>
      </c>
      <c r="Q25" s="5">
        <f>Q24+1</f>
        <v>20</v>
      </c>
      <c r="R25" s="1">
        <f t="shared" si="4"/>
        <v>0</v>
      </c>
      <c r="S25" s="1">
        <f>(Q25/R$1)*T24</f>
        <v>1.1191187298876009</v>
      </c>
      <c r="T25" s="1">
        <f>T24-S25+R25</f>
        <v>0</v>
      </c>
      <c r="U25" s="1">
        <f t="shared" si="5"/>
        <v>1.7</v>
      </c>
      <c r="V25" s="4">
        <f t="shared" si="24"/>
        <v>20</v>
      </c>
      <c r="W25" s="3">
        <f t="shared" si="6"/>
        <v>0</v>
      </c>
      <c r="X25" s="3">
        <f t="shared" si="13"/>
        <v>1.3988984123595007</v>
      </c>
      <c r="Y25" s="3">
        <f t="shared" si="20"/>
        <v>0</v>
      </c>
      <c r="Z25" s="3">
        <f t="shared" si="7"/>
        <v>1.7</v>
      </c>
    </row>
    <row r="26" spans="1:26" ht="12.75">
      <c r="A26">
        <f t="shared" si="35"/>
        <v>7</v>
      </c>
      <c r="B26">
        <f t="shared" si="27"/>
        <v>910</v>
      </c>
      <c r="C26" s="15">
        <f t="shared" si="32"/>
        <v>1212.6043331507353</v>
      </c>
      <c r="D26" s="1">
        <f t="shared" si="28"/>
        <v>11.984796420392255</v>
      </c>
      <c r="E26" s="1">
        <f t="shared" si="29"/>
        <v>24.388424190579663</v>
      </c>
      <c r="F26" s="1">
        <f t="shared" si="33"/>
        <v>22.436978216354973</v>
      </c>
      <c r="G26" s="1">
        <f t="shared" si="25"/>
        <v>1.8179328886966877</v>
      </c>
      <c r="H26" s="1">
        <f t="shared" si="34"/>
        <v>0</v>
      </c>
      <c r="I26" s="1">
        <f t="shared" si="30"/>
        <v>3146.0390008437407</v>
      </c>
      <c r="J26" s="1">
        <f t="shared" si="31"/>
        <v>7181.767261912351</v>
      </c>
      <c r="K26" s="1">
        <f t="shared" si="26"/>
        <v>0</v>
      </c>
      <c r="V26" s="4">
        <f>V25+1</f>
        <v>21</v>
      </c>
      <c r="W26" s="3">
        <f t="shared" si="6"/>
        <v>-1.25</v>
      </c>
      <c r="X26" s="3">
        <f>(V26/W$1)*Y25</f>
        <v>0</v>
      </c>
      <c r="Y26" s="3">
        <f>Y25-X26+W26</f>
        <v>-1.25</v>
      </c>
      <c r="Z26" s="3">
        <f t="shared" si="7"/>
        <v>1.6963768115942028</v>
      </c>
    </row>
    <row r="27" spans="1:26" ht="12.75">
      <c r="A27">
        <f t="shared" si="35"/>
        <v>8</v>
      </c>
      <c r="B27">
        <f t="shared" si="27"/>
        <v>980</v>
      </c>
      <c r="C27" s="15">
        <f t="shared" si="32"/>
        <v>1294.3918887277007</v>
      </c>
      <c r="D27" s="1">
        <f t="shared" si="28"/>
        <v>8.14024665108313</v>
      </c>
      <c r="E27" s="1">
        <f t="shared" si="29"/>
        <v>17.94958257308398</v>
      </c>
      <c r="F27" s="1">
        <f t="shared" si="33"/>
        <v>12.627642294354123</v>
      </c>
      <c r="G27" s="1">
        <f t="shared" si="25"/>
        <v>1.7550249405782719</v>
      </c>
      <c r="H27" s="1">
        <f t="shared" si="34"/>
        <v>0</v>
      </c>
      <c r="I27" s="1">
        <f t="shared" si="30"/>
        <v>1835.0656028492936</v>
      </c>
      <c r="J27" s="1">
        <f t="shared" si="31"/>
        <v>4969.771165535259</v>
      </c>
      <c r="K27" s="1">
        <f t="shared" si="26"/>
        <v>0</v>
      </c>
      <c r="V27" s="4">
        <f>V26+1</f>
        <v>22</v>
      </c>
      <c r="W27" s="3">
        <f t="shared" si="6"/>
        <v>-2.5</v>
      </c>
      <c r="X27" s="3">
        <f>(V27/W$1)*Y26</f>
        <v>-1.375</v>
      </c>
      <c r="Y27" s="3">
        <f>Y26-X27+W27</f>
        <v>-2.375</v>
      </c>
      <c r="Z27" s="3">
        <f t="shared" si="7"/>
        <v>1.6932045779685265</v>
      </c>
    </row>
    <row r="28" spans="1:26" ht="12.75">
      <c r="A28">
        <f t="shared" si="35"/>
        <v>9</v>
      </c>
      <c r="B28">
        <f t="shared" si="27"/>
        <v>1047</v>
      </c>
      <c r="C28" s="15">
        <f t="shared" si="32"/>
        <v>1368.6782246228104</v>
      </c>
      <c r="D28" s="1">
        <f t="shared" si="28"/>
        <v>4.119362457209748</v>
      </c>
      <c r="E28" s="1">
        <f t="shared" si="29"/>
        <v>11.364878064918711</v>
      </c>
      <c r="F28" s="1">
        <f t="shared" si="33"/>
        <v>5.38212668664516</v>
      </c>
      <c r="G28" s="1">
        <f t="shared" si="25"/>
        <v>1.7208229024365493</v>
      </c>
      <c r="H28" s="1">
        <f t="shared" si="34"/>
        <v>0</v>
      </c>
      <c r="I28" s="1">
        <f t="shared" si="30"/>
        <v>938.061277041684</v>
      </c>
      <c r="J28" s="1">
        <f t="shared" si="31"/>
        <v>2545.37205808037</v>
      </c>
      <c r="K28" s="1">
        <f t="shared" si="26"/>
        <v>0</v>
      </c>
      <c r="V28" s="4">
        <f>V27+1</f>
        <v>23</v>
      </c>
      <c r="W28" s="3">
        <f t="shared" si="6"/>
        <v>-3.75</v>
      </c>
      <c r="X28" s="3">
        <f>(V28/W$1)*Y27</f>
        <v>-2.7312499999999997</v>
      </c>
      <c r="Y28" s="3">
        <f>Y27-X28+W28</f>
        <v>-3.3937500000000003</v>
      </c>
      <c r="Z28" s="3">
        <f t="shared" si="7"/>
        <v>1.6904016121049281</v>
      </c>
    </row>
    <row r="29" spans="1:26" ht="12.75">
      <c r="A29">
        <f t="shared" si="35"/>
        <v>10</v>
      </c>
      <c r="B29">
        <f t="shared" si="27"/>
        <v>1110</v>
      </c>
      <c r="C29" s="15">
        <f t="shared" si="32"/>
        <v>1435.7669178826143</v>
      </c>
      <c r="D29" s="1">
        <f t="shared" si="28"/>
        <v>0</v>
      </c>
      <c r="E29" s="1">
        <f t="shared" si="29"/>
        <v>5.38212668664516</v>
      </c>
      <c r="F29" s="1">
        <f t="shared" si="33"/>
        <v>0</v>
      </c>
      <c r="G29" s="1">
        <f t="shared" si="25"/>
        <v>1.7</v>
      </c>
      <c r="H29" s="1">
        <f t="shared" si="34"/>
        <v>0</v>
      </c>
      <c r="I29" s="1">
        <f t="shared" si="30"/>
        <v>361.07984636574184</v>
      </c>
      <c r="J29" s="1">
        <f t="shared" si="31"/>
        <v>0</v>
      </c>
      <c r="K29" s="1">
        <f t="shared" si="26"/>
        <v>0</v>
      </c>
      <c r="V29" s="4">
        <f>V28+1</f>
        <v>24</v>
      </c>
      <c r="W29" s="3">
        <f t="shared" si="6"/>
        <v>-5</v>
      </c>
      <c r="X29" s="3">
        <f>(V29/W$1)*Y28</f>
        <v>-4.0725</v>
      </c>
      <c r="Y29" s="3">
        <f>Y28-X29+W29</f>
        <v>-4.321250000000001</v>
      </c>
      <c r="Z29" s="3">
        <f t="shared" si="7"/>
        <v>1.6879053136851532</v>
      </c>
    </row>
    <row r="30" spans="9:26" ht="13.5" thickBot="1">
      <c r="I30" s="1">
        <f>SUM(I20:I29)</f>
        <v>44437.52159949826</v>
      </c>
      <c r="J30" s="1">
        <f>SUM(J19:J29)</f>
        <v>84200.9948656314</v>
      </c>
      <c r="K30" s="1">
        <f>(SUM(K19:K29))/$D$1</f>
        <v>10.402257156597958</v>
      </c>
      <c r="V30" s="4">
        <f>V29+1</f>
        <v>25</v>
      </c>
      <c r="W30" s="3">
        <f t="shared" si="6"/>
        <v>-6.25</v>
      </c>
      <c r="X30" s="3">
        <f>(V30/W$1)*Y29</f>
        <v>-5.401562500000001</v>
      </c>
      <c r="Y30" s="3">
        <f>Y29-X30+W30</f>
        <v>-5.1696875</v>
      </c>
      <c r="Z30" s="3">
        <f t="shared" si="7"/>
        <v>1.6856667810343693</v>
      </c>
    </row>
    <row r="31" spans="1:7" ht="14.25" thickBot="1" thickTop="1">
      <c r="A31">
        <f>A17+1</f>
        <v>2</v>
      </c>
      <c r="C31" s="17" t="s">
        <v>16</v>
      </c>
      <c r="D31" s="18">
        <v>0</v>
      </c>
      <c r="E31" s="19" t="s">
        <v>17</v>
      </c>
      <c r="F31" s="20">
        <f>((60*$B$2)+($D31))/(60*$B$2)</f>
        <v>1</v>
      </c>
      <c r="G31" t="s">
        <v>8</v>
      </c>
    </row>
    <row r="32" spans="1:7" ht="13.5" thickTop="1">
      <c r="A32" t="s">
        <v>4</v>
      </c>
      <c r="C32" t="s">
        <v>10</v>
      </c>
      <c r="D32" t="s">
        <v>0</v>
      </c>
      <c r="E32" t="s">
        <v>1</v>
      </c>
      <c r="F32" t="s">
        <v>2</v>
      </c>
      <c r="G32" t="s">
        <v>9</v>
      </c>
    </row>
    <row r="33" spans="1:11" ht="12.75">
      <c r="A33">
        <v>0</v>
      </c>
      <c r="B33">
        <f>B19+60*$B$2</f>
        <v>600</v>
      </c>
      <c r="C33" s="15">
        <f>C$5+A31*$B$2*60+$D31</f>
        <v>600</v>
      </c>
      <c r="D33" s="1">
        <f aca="true" t="shared" si="36" ref="D33:D43">(E$1*(D$1-A33)/D$1)*((C33-C19)/(60*$B$2))</f>
        <v>14</v>
      </c>
      <c r="E33" s="1">
        <v>0</v>
      </c>
      <c r="F33" s="1">
        <f>IF((H19+D33)&lt;$F$2,H19+D33,$F$2-0.5)</f>
        <v>14</v>
      </c>
      <c r="G33" s="1">
        <f aca="true" t="shared" si="37" ref="G33:G43">1.7+0.25*((F33/F$2)/(1-(F33/F$2)))</f>
        <v>1.7625</v>
      </c>
      <c r="H33" s="1">
        <f>IF(H19+D33&lt;$F$2,0,H19+D33-$F$2)</f>
        <v>0</v>
      </c>
      <c r="I33" s="1"/>
      <c r="J33" s="1">
        <f aca="true" t="shared" si="38" ref="J33:J43">(C33-C19)*D33</f>
        <v>2940</v>
      </c>
      <c r="K33" s="1">
        <f aca="true" t="shared" si="39" ref="K33:K43">IF((F33-(H$1*F$2))&lt;0,0,F33-(H$1*F$2))</f>
        <v>0</v>
      </c>
    </row>
    <row r="34" spans="1:11" ht="12.75">
      <c r="A34">
        <v>1</v>
      </c>
      <c r="B34">
        <f aca="true" t="shared" si="40" ref="B34:B43">B20+60*$B$2</f>
        <v>696</v>
      </c>
      <c r="C34" s="15">
        <f aca="true" t="shared" si="41" ref="C34:C43">IF((C33+60+(D33*G33))&lt;C20,C20,C33+60+(D33*G33))</f>
        <v>684.675</v>
      </c>
      <c r="D34" s="1">
        <f t="shared" si="36"/>
        <v>11.19804545454545</v>
      </c>
      <c r="E34" s="1">
        <f aca="true" t="shared" si="42" ref="E34:E43">(A34/D$1)*F33</f>
        <v>1.4000000000000001</v>
      </c>
      <c r="F34" s="1">
        <f aca="true" t="shared" si="43" ref="F34:F43">IF((H20+F33-E34+D34)&lt;$F$2,H20+F33-E34+D34,$F$2-0.5)</f>
        <v>23.798045454545452</v>
      </c>
      <c r="G34" s="1">
        <f t="shared" si="37"/>
        <v>1.8287718543981315</v>
      </c>
      <c r="H34" s="1">
        <f aca="true" t="shared" si="44" ref="H34:H43">IF((H20+F33-E34+D34)&lt;$F$2,0,H20+F33-E34+D34-$F$2)</f>
        <v>0</v>
      </c>
      <c r="I34" s="1">
        <f aca="true" t="shared" si="45" ref="I34:I43">(C34-C33)*F33</f>
        <v>1185.4499999999994</v>
      </c>
      <c r="J34" s="1">
        <f t="shared" si="38"/>
        <v>2089.937033367767</v>
      </c>
      <c r="K34" s="1">
        <f t="shared" si="39"/>
        <v>0</v>
      </c>
    </row>
    <row r="35" spans="1:11" ht="12.75">
      <c r="A35">
        <f>A34+1</f>
        <v>2</v>
      </c>
      <c r="B35">
        <f t="shared" si="40"/>
        <v>791</v>
      </c>
      <c r="C35" s="15">
        <f t="shared" si="41"/>
        <v>765.1536703515436</v>
      </c>
      <c r="D35" s="1">
        <f t="shared" si="36"/>
        <v>8.178909352945338</v>
      </c>
      <c r="E35" s="1">
        <f t="shared" si="42"/>
        <v>4.75960909090909</v>
      </c>
      <c r="F35" s="1">
        <f t="shared" si="43"/>
        <v>27.217345716581697</v>
      </c>
      <c r="G35" s="1">
        <f t="shared" si="37"/>
        <v>1.8590442795827804</v>
      </c>
      <c r="H35" s="1">
        <f t="shared" si="44"/>
        <v>0</v>
      </c>
      <c r="I35" s="1">
        <f t="shared" si="45"/>
        <v>1915.2350551474153</v>
      </c>
      <c r="J35" s="1">
        <f t="shared" si="38"/>
        <v>1254.2729663193136</v>
      </c>
      <c r="K35" s="1">
        <f t="shared" si="39"/>
        <v>0</v>
      </c>
    </row>
    <row r="36" spans="1:11" ht="12.75">
      <c r="A36">
        <f aca="true" t="shared" si="46" ref="A36:A43">A35+1</f>
        <v>3</v>
      </c>
      <c r="B36">
        <f t="shared" si="40"/>
        <v>884</v>
      </c>
      <c r="C36" s="15">
        <f t="shared" si="41"/>
        <v>840.3586249973628</v>
      </c>
      <c r="D36" s="1">
        <f t="shared" si="36"/>
        <v>4.433074437455382</v>
      </c>
      <c r="E36" s="1">
        <f t="shared" si="42"/>
        <v>8.165203714974508</v>
      </c>
      <c r="F36" s="1">
        <f t="shared" si="43"/>
        <v>23.48521643906257</v>
      </c>
      <c r="G36" s="1">
        <f t="shared" si="37"/>
        <v>1.8262244744635616</v>
      </c>
      <c r="H36" s="1">
        <f t="shared" si="44"/>
        <v>0</v>
      </c>
      <c r="I36" s="1">
        <f t="shared" si="45"/>
        <v>2046.8792501951068</v>
      </c>
      <c r="J36" s="1">
        <f t="shared" si="38"/>
        <v>421.11747788615037</v>
      </c>
      <c r="K36" s="1">
        <f t="shared" si="39"/>
        <v>0</v>
      </c>
    </row>
    <row r="37" spans="1:11" ht="12.75">
      <c r="A37">
        <f t="shared" si="46"/>
        <v>4</v>
      </c>
      <c r="B37">
        <f t="shared" si="40"/>
        <v>973</v>
      </c>
      <c r="C37" s="15">
        <f t="shared" si="41"/>
        <v>908.4544140321626</v>
      </c>
      <c r="D37" s="1">
        <f t="shared" si="36"/>
        <v>0.4725450243973137</v>
      </c>
      <c r="E37" s="1">
        <f t="shared" si="42"/>
        <v>9.394086575625028</v>
      </c>
      <c r="F37" s="1">
        <f t="shared" si="43"/>
        <v>14.563674887834853</v>
      </c>
      <c r="G37" s="1">
        <f t="shared" si="37"/>
        <v>1.7656774906091266</v>
      </c>
      <c r="H37" s="1">
        <f t="shared" si="44"/>
        <v>0</v>
      </c>
      <c r="I37" s="1">
        <f t="shared" si="45"/>
        <v>1599.244344071018</v>
      </c>
      <c r="J37" s="1">
        <f t="shared" si="38"/>
        <v>5.582470002066445</v>
      </c>
      <c r="K37" s="1">
        <f t="shared" si="39"/>
        <v>0</v>
      </c>
    </row>
    <row r="38" spans="1:11" ht="12.75">
      <c r="A38">
        <f t="shared" si="46"/>
        <v>5</v>
      </c>
      <c r="B38">
        <f t="shared" si="40"/>
        <v>1057</v>
      </c>
      <c r="C38" s="15">
        <f t="shared" si="41"/>
        <v>1020.2388333925758</v>
      </c>
      <c r="D38" s="1">
        <f t="shared" si="36"/>
        <v>0</v>
      </c>
      <c r="E38" s="1">
        <f t="shared" si="42"/>
        <v>7.281837443917427</v>
      </c>
      <c r="F38" s="1">
        <f t="shared" si="43"/>
        <v>7.281837443917427</v>
      </c>
      <c r="G38" s="1">
        <f t="shared" si="37"/>
        <v>1.7290260314841255</v>
      </c>
      <c r="H38" s="1">
        <f t="shared" si="44"/>
        <v>0</v>
      </c>
      <c r="I38" s="1">
        <f t="shared" si="45"/>
        <v>1627.9919410904492</v>
      </c>
      <c r="J38" s="1">
        <f t="shared" si="38"/>
        <v>0</v>
      </c>
      <c r="K38" s="1">
        <f t="shared" si="39"/>
        <v>0</v>
      </c>
    </row>
    <row r="39" spans="1:11" ht="12.75">
      <c r="A39">
        <f t="shared" si="46"/>
        <v>6</v>
      </c>
      <c r="B39">
        <f t="shared" si="40"/>
        <v>1135</v>
      </c>
      <c r="C39" s="15">
        <f t="shared" si="41"/>
        <v>1122.3062768523191</v>
      </c>
      <c r="D39" s="1">
        <f t="shared" si="36"/>
        <v>0</v>
      </c>
      <c r="E39" s="1">
        <f t="shared" si="42"/>
        <v>4.369102466350456</v>
      </c>
      <c r="F39" s="1">
        <f t="shared" si="43"/>
        <v>2.912734977566971</v>
      </c>
      <c r="G39" s="1">
        <f t="shared" si="37"/>
        <v>1.7108542768012416</v>
      </c>
      <c r="H39" s="1">
        <f t="shared" si="44"/>
        <v>0</v>
      </c>
      <c r="I39" s="1">
        <f t="shared" si="45"/>
        <v>743.238531590084</v>
      </c>
      <c r="J39" s="1">
        <f t="shared" si="38"/>
        <v>0</v>
      </c>
      <c r="K39" s="1">
        <f t="shared" si="39"/>
        <v>0</v>
      </c>
    </row>
    <row r="40" spans="1:11" ht="12.75">
      <c r="A40">
        <f t="shared" si="46"/>
        <v>7</v>
      </c>
      <c r="B40">
        <f t="shared" si="40"/>
        <v>1210</v>
      </c>
      <c r="C40" s="15">
        <f t="shared" si="41"/>
        <v>1212.6043331507353</v>
      </c>
      <c r="D40" s="1">
        <f t="shared" si="36"/>
        <v>0</v>
      </c>
      <c r="E40" s="1">
        <f t="shared" si="42"/>
        <v>2.0389144842968796</v>
      </c>
      <c r="F40" s="1">
        <f t="shared" si="43"/>
        <v>0.8738204932700913</v>
      </c>
      <c r="G40" s="1">
        <f t="shared" si="37"/>
        <v>1.7031602371905459</v>
      </c>
      <c r="H40" s="1">
        <f t="shared" si="44"/>
        <v>0</v>
      </c>
      <c r="I40" s="1">
        <f t="shared" si="45"/>
        <v>263.01430698670845</v>
      </c>
      <c r="J40" s="1">
        <f t="shared" si="38"/>
        <v>0</v>
      </c>
      <c r="K40" s="1">
        <f t="shared" si="39"/>
        <v>0</v>
      </c>
    </row>
    <row r="41" spans="1:11" ht="12.75">
      <c r="A41">
        <f t="shared" si="46"/>
        <v>8</v>
      </c>
      <c r="B41">
        <f t="shared" si="40"/>
        <v>1280</v>
      </c>
      <c r="C41" s="15">
        <f t="shared" si="41"/>
        <v>1294.3918887277007</v>
      </c>
      <c r="D41" s="1">
        <f t="shared" si="36"/>
        <v>0</v>
      </c>
      <c r="E41" s="1">
        <f t="shared" si="42"/>
        <v>0.699056394616073</v>
      </c>
      <c r="F41" s="1">
        <f t="shared" si="43"/>
        <v>0.1747640986540182</v>
      </c>
      <c r="G41" s="1">
        <f t="shared" si="37"/>
        <v>1.7006257196857197</v>
      </c>
      <c r="H41" s="1">
        <f t="shared" si="44"/>
        <v>0</v>
      </c>
      <c r="I41" s="1">
        <f t="shared" si="45"/>
        <v>71.46764215761887</v>
      </c>
      <c r="J41" s="1">
        <f t="shared" si="38"/>
        <v>0</v>
      </c>
      <c r="K41" s="1">
        <f t="shared" si="39"/>
        <v>0</v>
      </c>
    </row>
    <row r="42" spans="1:11" ht="12.75">
      <c r="A42">
        <f t="shared" si="46"/>
        <v>9</v>
      </c>
      <c r="B42">
        <f t="shared" si="40"/>
        <v>1347</v>
      </c>
      <c r="C42" s="15">
        <f t="shared" si="41"/>
        <v>1368.6782246228104</v>
      </c>
      <c r="D42" s="1">
        <f t="shared" si="36"/>
        <v>0</v>
      </c>
      <c r="E42" s="1">
        <f t="shared" si="42"/>
        <v>0.1572876887886164</v>
      </c>
      <c r="F42" s="1">
        <f t="shared" si="43"/>
        <v>0.017476409865401804</v>
      </c>
      <c r="G42" s="1">
        <f t="shared" si="37"/>
        <v>1.7000624313363137</v>
      </c>
      <c r="H42" s="1">
        <f t="shared" si="44"/>
        <v>0</v>
      </c>
      <c r="I42" s="1">
        <f t="shared" si="45"/>
        <v>12.982584535018484</v>
      </c>
      <c r="J42" s="1">
        <f t="shared" si="38"/>
        <v>0</v>
      </c>
      <c r="K42" s="1">
        <f t="shared" si="39"/>
        <v>0</v>
      </c>
    </row>
    <row r="43" spans="1:11" ht="12.75">
      <c r="A43">
        <f t="shared" si="46"/>
        <v>10</v>
      </c>
      <c r="B43">
        <f t="shared" si="40"/>
        <v>1410</v>
      </c>
      <c r="C43" s="15">
        <f t="shared" si="41"/>
        <v>1435.7669178826143</v>
      </c>
      <c r="D43" s="1">
        <f t="shared" si="36"/>
        <v>0</v>
      </c>
      <c r="E43" s="1">
        <f t="shared" si="42"/>
        <v>0.017476409865401804</v>
      </c>
      <c r="F43" s="1">
        <f t="shared" si="43"/>
        <v>0</v>
      </c>
      <c r="G43" s="1">
        <f t="shared" si="37"/>
        <v>1.7</v>
      </c>
      <c r="H43" s="1">
        <f t="shared" si="44"/>
        <v>0</v>
      </c>
      <c r="I43" s="1">
        <f t="shared" si="45"/>
        <v>1.1724695007425525</v>
      </c>
      <c r="J43" s="1">
        <f t="shared" si="38"/>
        <v>0</v>
      </c>
      <c r="K43" s="1">
        <f t="shared" si="39"/>
        <v>0</v>
      </c>
    </row>
    <row r="44" spans="9:11" ht="13.5" thickBot="1">
      <c r="I44" s="1">
        <f>SUM(I34:I43)</f>
        <v>9466.676125274162</v>
      </c>
      <c r="J44" s="1">
        <f>SUM(J33:J43)</f>
        <v>6710.909947575297</v>
      </c>
      <c r="K44" s="1">
        <f>(SUM(K33:K43))/$D$1</f>
        <v>0</v>
      </c>
    </row>
    <row r="45" spans="1:7" ht="14.25" thickBot="1" thickTop="1">
      <c r="A45">
        <f>A31+1</f>
        <v>3</v>
      </c>
      <c r="C45" s="17" t="s">
        <v>16</v>
      </c>
      <c r="D45" s="18">
        <v>0</v>
      </c>
      <c r="E45" s="19" t="s">
        <v>17</v>
      </c>
      <c r="F45" s="20">
        <f>((60*$B$2)+($D45))/(60*$B$2)</f>
        <v>1</v>
      </c>
      <c r="G45" t="s">
        <v>8</v>
      </c>
    </row>
    <row r="46" spans="1:7" ht="13.5" thickTop="1">
      <c r="A46" t="s">
        <v>4</v>
      </c>
      <c r="C46" t="s">
        <v>10</v>
      </c>
      <c r="D46" t="s">
        <v>0</v>
      </c>
      <c r="E46" t="s">
        <v>1</v>
      </c>
      <c r="F46" t="s">
        <v>2</v>
      </c>
      <c r="G46" t="s">
        <v>9</v>
      </c>
    </row>
    <row r="47" spans="1:11" ht="12.75">
      <c r="A47">
        <v>0</v>
      </c>
      <c r="B47">
        <f aca="true" t="shared" si="47" ref="B47:B57">B33+60*$B$2</f>
        <v>900</v>
      </c>
      <c r="C47" s="15">
        <f>C$5+A45*$B$2*60+$D45</f>
        <v>900</v>
      </c>
      <c r="D47" s="1">
        <f aca="true" t="shared" si="48" ref="D47:D57">(E$1*(D$1-A47)/D$1)*((C47-C33)/(60*$B$2))</f>
        <v>20</v>
      </c>
      <c r="E47" s="1">
        <v>0</v>
      </c>
      <c r="F47" s="1">
        <f>IF((H33+D47)&lt;$F$2,H33+D47,$F$2-0.5)</f>
        <v>20</v>
      </c>
      <c r="G47" s="1">
        <f aca="true" t="shared" si="49" ref="G47:G57">1.7+0.25*((F47/F$2)/(1-(F47/F$2)))</f>
        <v>1.8</v>
      </c>
      <c r="H47" s="1">
        <f>IF(H33+D47&lt;$F$2,0,H33+D47-$F$2)</f>
        <v>0</v>
      </c>
      <c r="I47" s="1"/>
      <c r="J47" s="1">
        <f aca="true" t="shared" si="50" ref="J47:J57">(C47-C33)*D47</f>
        <v>6000</v>
      </c>
      <c r="K47" s="1">
        <f aca="true" t="shared" si="51" ref="K47:K57">IF((F47-(H$1*F$2))&lt;0,0,F47-(H$1*F$2))</f>
        <v>0</v>
      </c>
    </row>
    <row r="48" spans="1:11" ht="12.75">
      <c r="A48">
        <v>1</v>
      </c>
      <c r="B48">
        <f t="shared" si="47"/>
        <v>996</v>
      </c>
      <c r="C48" s="15">
        <f aca="true" t="shared" si="52" ref="C48:C57">IF((C47+60+(D47*G47))&lt;C34,C34,C47+60+(D47*G47))</f>
        <v>996</v>
      </c>
      <c r="D48" s="1">
        <f t="shared" si="48"/>
        <v>18.679500000000004</v>
      </c>
      <c r="E48" s="1">
        <f aca="true" t="shared" si="53" ref="E48:E57">(A48/D$1)*F47</f>
        <v>2</v>
      </c>
      <c r="F48" s="1">
        <f aca="true" t="shared" si="54" ref="F48:F57">IF((H34+F47-E48+D48)&lt;$F$2,H34+F47-E48+D48,$F$2-0.5)</f>
        <v>36.679500000000004</v>
      </c>
      <c r="G48" s="1">
        <f t="shared" si="49"/>
        <v>1.9752022028480967</v>
      </c>
      <c r="H48" s="1">
        <f aca="true" t="shared" si="55" ref="H48:H57">IF((H34+F47-E48+D48)&lt;$F$2,0,H34+F47-E48+D48-$F$2)</f>
        <v>0</v>
      </c>
      <c r="I48" s="1">
        <f aca="true" t="shared" si="56" ref="I48:I57">(C48-C47)*F47</f>
        <v>1920</v>
      </c>
      <c r="J48" s="1">
        <f t="shared" si="50"/>
        <v>5815.395337500002</v>
      </c>
      <c r="K48" s="1">
        <f t="shared" si="51"/>
        <v>1.6795000000000044</v>
      </c>
    </row>
    <row r="49" spans="1:11" ht="12.75">
      <c r="A49">
        <f>A48+1</f>
        <v>2</v>
      </c>
      <c r="B49">
        <f t="shared" si="47"/>
        <v>1091</v>
      </c>
      <c r="C49" s="15">
        <f t="shared" si="52"/>
        <v>1092.895789548101</v>
      </c>
      <c r="D49" s="1">
        <f t="shared" si="48"/>
        <v>17.47957969048306</v>
      </c>
      <c r="E49" s="1">
        <f t="shared" si="53"/>
        <v>7.335900000000001</v>
      </c>
      <c r="F49" s="1">
        <f t="shared" si="54"/>
        <v>46.82317969048306</v>
      </c>
      <c r="G49" s="1">
        <f t="shared" si="49"/>
        <v>2.2050647485847787</v>
      </c>
      <c r="H49" s="1">
        <f t="shared" si="55"/>
        <v>0</v>
      </c>
      <c r="I49" s="1">
        <f t="shared" si="56"/>
        <v>3554.089112729571</v>
      </c>
      <c r="J49" s="1">
        <f t="shared" si="50"/>
        <v>5728.794490424023</v>
      </c>
      <c r="K49" s="1">
        <f t="shared" si="51"/>
        <v>11.823179690483059</v>
      </c>
    </row>
    <row r="50" spans="1:11" ht="12.75">
      <c r="A50">
        <f aca="true" t="shared" si="57" ref="A50:A57">A49+1</f>
        <v>3</v>
      </c>
      <c r="B50">
        <f t="shared" si="47"/>
        <v>1184</v>
      </c>
      <c r="C50" s="15">
        <f t="shared" si="52"/>
        <v>1191.4393945436636</v>
      </c>
      <c r="D50" s="1">
        <f t="shared" si="48"/>
        <v>16.38376924549404</v>
      </c>
      <c r="E50" s="1">
        <f t="shared" si="53"/>
        <v>14.046953907144918</v>
      </c>
      <c r="F50" s="1">
        <f t="shared" si="54"/>
        <v>49.159995028832185</v>
      </c>
      <c r="G50" s="1">
        <f t="shared" si="49"/>
        <v>2.2897310856792634</v>
      </c>
      <c r="H50" s="1">
        <f t="shared" si="55"/>
        <v>0</v>
      </c>
      <c r="I50" s="1">
        <f t="shared" si="56"/>
        <v>4614.124924055213</v>
      </c>
      <c r="J50" s="1">
        <f t="shared" si="50"/>
        <v>5752.026314777065</v>
      </c>
      <c r="K50" s="1">
        <f t="shared" si="51"/>
        <v>14.159995028832185</v>
      </c>
    </row>
    <row r="51" spans="1:11" ht="12.75">
      <c r="A51">
        <f t="shared" si="57"/>
        <v>4</v>
      </c>
      <c r="B51">
        <f t="shared" si="47"/>
        <v>1273</v>
      </c>
      <c r="C51" s="15">
        <f t="shared" si="52"/>
        <v>1288.9538202856672</v>
      </c>
      <c r="D51" s="1">
        <f t="shared" si="48"/>
        <v>15.219976250140185</v>
      </c>
      <c r="E51" s="1">
        <f t="shared" si="53"/>
        <v>19.663998011532875</v>
      </c>
      <c r="F51" s="1">
        <f t="shared" si="54"/>
        <v>44.715973267439495</v>
      </c>
      <c r="G51" s="1">
        <f t="shared" si="49"/>
        <v>2.1421365882541044</v>
      </c>
      <c r="H51" s="1">
        <f t="shared" si="55"/>
        <v>0</v>
      </c>
      <c r="I51" s="1">
        <f t="shared" si="56"/>
        <v>4793.808684716322</v>
      </c>
      <c r="J51" s="1">
        <f t="shared" si="50"/>
        <v>5791.191926370782</v>
      </c>
      <c r="K51" s="1">
        <f t="shared" si="51"/>
        <v>9.715973267439495</v>
      </c>
    </row>
    <row r="52" spans="1:11" ht="12.75">
      <c r="A52">
        <f t="shared" si="57"/>
        <v>5</v>
      </c>
      <c r="B52">
        <f t="shared" si="47"/>
        <v>1357</v>
      </c>
      <c r="C52" s="15">
        <f t="shared" si="52"/>
        <v>1381.557088283451</v>
      </c>
      <c r="D52" s="1">
        <f t="shared" si="48"/>
        <v>12.043941829695843</v>
      </c>
      <c r="E52" s="1">
        <f t="shared" si="53"/>
        <v>22.357986633719747</v>
      </c>
      <c r="F52" s="1">
        <f t="shared" si="54"/>
        <v>34.40192846341559</v>
      </c>
      <c r="G52" s="1">
        <f t="shared" si="49"/>
        <v>1.9415996638192918</v>
      </c>
      <c r="H52" s="1">
        <f t="shared" si="55"/>
        <v>0</v>
      </c>
      <c r="I52" s="1">
        <f t="shared" si="56"/>
        <v>4140.845256266438</v>
      </c>
      <c r="J52" s="1">
        <f t="shared" si="50"/>
        <v>4351.696043912918</v>
      </c>
      <c r="K52" s="1">
        <f t="shared" si="51"/>
        <v>0</v>
      </c>
    </row>
    <row r="53" spans="1:11" ht="12.75">
      <c r="A53">
        <f t="shared" si="57"/>
        <v>6</v>
      </c>
      <c r="B53">
        <f t="shared" si="47"/>
        <v>1435</v>
      </c>
      <c r="C53" s="15">
        <f t="shared" si="52"/>
        <v>1464.9416016910477</v>
      </c>
      <c r="D53" s="1">
        <f t="shared" si="48"/>
        <v>9.136941995699429</v>
      </c>
      <c r="E53" s="1">
        <f t="shared" si="53"/>
        <v>20.64115707804935</v>
      </c>
      <c r="F53" s="1">
        <f t="shared" si="54"/>
        <v>22.897713381065664</v>
      </c>
      <c r="G53" s="1">
        <f t="shared" si="49"/>
        <v>1.821531856650146</v>
      </c>
      <c r="H53" s="1">
        <f t="shared" si="55"/>
        <v>0</v>
      </c>
      <c r="I53" s="1">
        <f t="shared" si="56"/>
        <v>2868.588065204857</v>
      </c>
      <c r="J53" s="1">
        <f t="shared" si="50"/>
        <v>3130.639088729095</v>
      </c>
      <c r="K53" s="1">
        <f t="shared" si="51"/>
        <v>0</v>
      </c>
    </row>
    <row r="54" spans="1:11" ht="12.75">
      <c r="A54">
        <f t="shared" si="57"/>
        <v>7</v>
      </c>
      <c r="B54">
        <f t="shared" si="47"/>
        <v>1510</v>
      </c>
      <c r="C54" s="15">
        <f t="shared" si="52"/>
        <v>1541.5848326085788</v>
      </c>
      <c r="D54" s="1">
        <f t="shared" si="48"/>
        <v>6.57960998915687</v>
      </c>
      <c r="E54" s="1">
        <f t="shared" si="53"/>
        <v>16.028399366745965</v>
      </c>
      <c r="F54" s="1">
        <f t="shared" si="54"/>
        <v>13.448924003476568</v>
      </c>
      <c r="G54" s="1">
        <f t="shared" si="49"/>
        <v>1.7594547661847466</v>
      </c>
      <c r="H54" s="1">
        <f t="shared" si="55"/>
        <v>0</v>
      </c>
      <c r="I54" s="1">
        <f t="shared" si="56"/>
        <v>1754.954734148458</v>
      </c>
      <c r="J54" s="1">
        <f t="shared" si="50"/>
        <v>2164.5633804706436</v>
      </c>
      <c r="K54" s="1">
        <f t="shared" si="51"/>
        <v>0</v>
      </c>
    </row>
    <row r="55" spans="1:11" ht="12.75">
      <c r="A55">
        <f t="shared" si="57"/>
        <v>8</v>
      </c>
      <c r="B55">
        <f t="shared" si="47"/>
        <v>1580</v>
      </c>
      <c r="C55" s="15">
        <f t="shared" si="52"/>
        <v>1613.1613587636377</v>
      </c>
      <c r="D55" s="1">
        <f t="shared" si="48"/>
        <v>4.25025960047916</v>
      </c>
      <c r="E55" s="1">
        <f t="shared" si="53"/>
        <v>10.759139202781256</v>
      </c>
      <c r="F55" s="1">
        <f t="shared" si="54"/>
        <v>6.940044401174473</v>
      </c>
      <c r="G55" s="1">
        <f t="shared" si="49"/>
        <v>1.7275136746262778</v>
      </c>
      <c r="H55" s="1">
        <f t="shared" si="55"/>
        <v>0</v>
      </c>
      <c r="I55" s="1">
        <f t="shared" si="56"/>
        <v>962.62726069224</v>
      </c>
      <c r="J55" s="1">
        <f t="shared" si="50"/>
        <v>1354.8530003598955</v>
      </c>
      <c r="K55" s="1">
        <f t="shared" si="51"/>
        <v>0</v>
      </c>
    </row>
    <row r="56" spans="1:11" ht="12.75">
      <c r="A56">
        <f t="shared" si="57"/>
        <v>9</v>
      </c>
      <c r="B56">
        <f t="shared" si="47"/>
        <v>1647</v>
      </c>
      <c r="C56" s="15">
        <f t="shared" si="52"/>
        <v>1680.503740344177</v>
      </c>
      <c r="D56" s="1">
        <f t="shared" si="48"/>
        <v>2.0788367714757774</v>
      </c>
      <c r="E56" s="1">
        <f t="shared" si="53"/>
        <v>6.246039961057026</v>
      </c>
      <c r="F56" s="1">
        <f t="shared" si="54"/>
        <v>2.7728412115932244</v>
      </c>
      <c r="G56" s="1">
        <f t="shared" si="49"/>
        <v>1.7103114621440443</v>
      </c>
      <c r="H56" s="1">
        <f t="shared" si="55"/>
        <v>0</v>
      </c>
      <c r="I56" s="1">
        <f t="shared" si="56"/>
        <v>467.3591182497765</v>
      </c>
      <c r="J56" s="1">
        <f t="shared" si="50"/>
        <v>648.234348365975</v>
      </c>
      <c r="K56" s="1">
        <f t="shared" si="51"/>
        <v>0</v>
      </c>
    </row>
    <row r="57" spans="1:11" ht="12.75">
      <c r="A57">
        <f t="shared" si="57"/>
        <v>10</v>
      </c>
      <c r="B57">
        <f t="shared" si="47"/>
        <v>1710</v>
      </c>
      <c r="C57" s="15">
        <f t="shared" si="52"/>
        <v>1744.0591987023586</v>
      </c>
      <c r="D57" s="1">
        <f t="shared" si="48"/>
        <v>0</v>
      </c>
      <c r="E57" s="1">
        <f t="shared" si="53"/>
        <v>2.7728412115932244</v>
      </c>
      <c r="F57" s="1">
        <f t="shared" si="54"/>
        <v>0</v>
      </c>
      <c r="G57" s="1">
        <f t="shared" si="49"/>
        <v>1.7</v>
      </c>
      <c r="H57" s="1">
        <f t="shared" si="55"/>
        <v>0</v>
      </c>
      <c r="I57" s="1">
        <f t="shared" si="56"/>
        <v>176.2291941572629</v>
      </c>
      <c r="J57" s="1">
        <f t="shared" si="50"/>
        <v>0</v>
      </c>
      <c r="K57" s="1">
        <f t="shared" si="51"/>
        <v>0</v>
      </c>
    </row>
    <row r="58" spans="9:11" ht="13.5" thickBot="1">
      <c r="I58" s="1">
        <f>SUM(I48:I57)</f>
        <v>25252.62635022014</v>
      </c>
      <c r="J58" s="1">
        <f>SUM(J47:J57)</f>
        <v>40737.393930910395</v>
      </c>
      <c r="K58" s="1">
        <f>(SUM(K47:K57))/$D$1</f>
        <v>3.7378647986754743</v>
      </c>
    </row>
    <row r="59" spans="1:7" ht="14.25" thickBot="1" thickTop="1">
      <c r="A59">
        <f>A45+1</f>
        <v>4</v>
      </c>
      <c r="C59" s="17" t="s">
        <v>16</v>
      </c>
      <c r="D59" s="18">
        <v>0</v>
      </c>
      <c r="E59" s="19" t="s">
        <v>17</v>
      </c>
      <c r="F59" s="20">
        <f>((60*$B$2)+($D59))/(60*$B$2)</f>
        <v>1</v>
      </c>
      <c r="G59" t="s">
        <v>8</v>
      </c>
    </row>
    <row r="60" spans="1:7" ht="13.5" thickTop="1">
      <c r="A60" t="s">
        <v>4</v>
      </c>
      <c r="C60" t="s">
        <v>10</v>
      </c>
      <c r="D60" t="s">
        <v>0</v>
      </c>
      <c r="E60" t="s">
        <v>1</v>
      </c>
      <c r="F60" t="s">
        <v>2</v>
      </c>
      <c r="G60" t="s">
        <v>9</v>
      </c>
    </row>
    <row r="61" spans="1:11" ht="12.75">
      <c r="A61">
        <v>0</v>
      </c>
      <c r="B61">
        <f aca="true" t="shared" si="58" ref="B61:B71">B47+60*$B$2</f>
        <v>1200</v>
      </c>
      <c r="C61" s="15">
        <f>C$5+A59*$B$2*60+$D59</f>
        <v>1200</v>
      </c>
      <c r="D61" s="1">
        <f aca="true" t="shared" si="59" ref="D61:D71">(E$1*(D$1-A61)/D$1)*((C61-C47)/(60*$B$2))</f>
        <v>20</v>
      </c>
      <c r="E61" s="1">
        <v>0</v>
      </c>
      <c r="F61" s="1">
        <f>IF((H47+D61)&lt;$F$2,H47+D61,$F$2-0.5)</f>
        <v>20</v>
      </c>
      <c r="G61" s="1">
        <f aca="true" t="shared" si="60" ref="G61:G71">1.7+0.25*((F61/F$2)/(1-(F61/F$2)))</f>
        <v>1.8</v>
      </c>
      <c r="H61" s="1">
        <f>IF(H47+D61&lt;$F$2,0,H47+D61-$F$2)</f>
        <v>0</v>
      </c>
      <c r="I61" s="1"/>
      <c r="J61" s="1">
        <f aca="true" t="shared" si="61" ref="J61:J71">(C61-C47)*D61</f>
        <v>6000</v>
      </c>
      <c r="K61" s="1">
        <f aca="true" t="shared" si="62" ref="K61:K71">IF((F61-(H$1*F$2))&lt;0,0,F61-(H$1*F$2))</f>
        <v>0</v>
      </c>
    </row>
    <row r="62" spans="1:11" ht="12.75">
      <c r="A62">
        <v>1</v>
      </c>
      <c r="B62">
        <f t="shared" si="58"/>
        <v>1296</v>
      </c>
      <c r="C62" s="15">
        <f aca="true" t="shared" si="63" ref="C62:C71">IF((C61+60+(D61*G61))&lt;C48,C48,C61+60+(D61*G61))</f>
        <v>1296</v>
      </c>
      <c r="D62" s="1">
        <f t="shared" si="59"/>
        <v>18</v>
      </c>
      <c r="E62" s="1">
        <f aca="true" t="shared" si="64" ref="E62:E71">(A62/D$1)*F61</f>
        <v>2</v>
      </c>
      <c r="F62" s="1">
        <f aca="true" t="shared" si="65" ref="F62:F71">IF((H48+F61-E62+D62)&lt;$F$2,H48+F61-E62+D62,$F$2-0.5)</f>
        <v>36</v>
      </c>
      <c r="G62" s="1">
        <f t="shared" si="60"/>
        <v>1.964705882352941</v>
      </c>
      <c r="H62" s="1">
        <f aca="true" t="shared" si="66" ref="H62:H71">IF((H48+F61-E62+D62)&lt;$F$2,0,H48+F61-E62+D62-$F$2)</f>
        <v>0</v>
      </c>
      <c r="I62" s="1">
        <f aca="true" t="shared" si="67" ref="I62:I71">(C62-C61)*F61</f>
        <v>1920</v>
      </c>
      <c r="J62" s="1">
        <f t="shared" si="61"/>
        <v>5400</v>
      </c>
      <c r="K62" s="1">
        <f t="shared" si="62"/>
        <v>1</v>
      </c>
    </row>
    <row r="63" spans="1:11" ht="12.75">
      <c r="A63">
        <f>A62+1</f>
        <v>2</v>
      </c>
      <c r="B63">
        <f t="shared" si="58"/>
        <v>1391</v>
      </c>
      <c r="C63" s="15">
        <f t="shared" si="63"/>
        <v>1391.3647058823528</v>
      </c>
      <c r="D63" s="1">
        <f t="shared" si="59"/>
        <v>15.918342204493431</v>
      </c>
      <c r="E63" s="1">
        <f t="shared" si="64"/>
        <v>7.2</v>
      </c>
      <c r="F63" s="1">
        <f t="shared" si="65"/>
        <v>44.71834220449343</v>
      </c>
      <c r="G63" s="1">
        <f t="shared" si="60"/>
        <v>2.14220144270406</v>
      </c>
      <c r="H63" s="1">
        <f t="shared" si="66"/>
        <v>0</v>
      </c>
      <c r="I63" s="1">
        <f t="shared" si="67"/>
        <v>3433.129411764702</v>
      </c>
      <c r="J63" s="1">
        <f t="shared" si="61"/>
        <v>4751.13034761294</v>
      </c>
      <c r="K63" s="1">
        <f t="shared" si="62"/>
        <v>9.718342204493432</v>
      </c>
    </row>
    <row r="64" spans="1:11" ht="12.75">
      <c r="A64">
        <f aca="true" t="shared" si="68" ref="A64:A71">A63+1</f>
        <v>3</v>
      </c>
      <c r="B64">
        <f t="shared" si="58"/>
        <v>1484</v>
      </c>
      <c r="C64" s="15">
        <f t="shared" si="63"/>
        <v>1485.4650015182756</v>
      </c>
      <c r="D64" s="1">
        <f t="shared" si="59"/>
        <v>13.721194992148558</v>
      </c>
      <c r="E64" s="1">
        <f t="shared" si="64"/>
        <v>13.415502661348029</v>
      </c>
      <c r="F64" s="1">
        <f t="shared" si="65"/>
        <v>45.024034535293964</v>
      </c>
      <c r="G64" s="1">
        <f t="shared" si="60"/>
        <v>2.1506736145887753</v>
      </c>
      <c r="H64" s="1">
        <f t="shared" si="66"/>
        <v>0</v>
      </c>
      <c r="I64" s="1">
        <f t="shared" si="67"/>
        <v>4208.009221791193</v>
      </c>
      <c r="J64" s="1">
        <f t="shared" si="61"/>
        <v>4034.3826859834853</v>
      </c>
      <c r="K64" s="1">
        <f t="shared" si="62"/>
        <v>10.024034535293964</v>
      </c>
    </row>
    <row r="65" spans="1:11" ht="12.75">
      <c r="A65">
        <f t="shared" si="68"/>
        <v>4</v>
      </c>
      <c r="B65">
        <f t="shared" si="58"/>
        <v>1573</v>
      </c>
      <c r="C65" s="15">
        <f t="shared" si="63"/>
        <v>1574.9748135485172</v>
      </c>
      <c r="D65" s="1">
        <f t="shared" si="59"/>
        <v>11.440839730514</v>
      </c>
      <c r="E65" s="1">
        <f t="shared" si="64"/>
        <v>18.009613814117586</v>
      </c>
      <c r="F65" s="1">
        <f t="shared" si="65"/>
        <v>38.45526045169038</v>
      </c>
      <c r="G65" s="1">
        <f t="shared" si="60"/>
        <v>2.004767617377198</v>
      </c>
      <c r="H65" s="1">
        <f t="shared" si="66"/>
        <v>0</v>
      </c>
      <c r="I65" s="1">
        <f t="shared" si="67"/>
        <v>4030.0928680972697</v>
      </c>
      <c r="J65" s="1">
        <f t="shared" si="61"/>
        <v>3272.320343482691</v>
      </c>
      <c r="K65" s="1">
        <f t="shared" si="62"/>
        <v>3.4552604516903784</v>
      </c>
    </row>
    <row r="66" spans="1:11" ht="12.75">
      <c r="A66">
        <f t="shared" si="68"/>
        <v>5</v>
      </c>
      <c r="B66">
        <f t="shared" si="58"/>
        <v>1657</v>
      </c>
      <c r="C66" s="15">
        <f t="shared" si="63"/>
        <v>1657.9110385558542</v>
      </c>
      <c r="D66" s="1">
        <f t="shared" si="59"/>
        <v>9.211798342413438</v>
      </c>
      <c r="E66" s="1">
        <f t="shared" si="64"/>
        <v>19.22763022584519</v>
      </c>
      <c r="F66" s="1">
        <f t="shared" si="65"/>
        <v>28.439428568258627</v>
      </c>
      <c r="G66" s="1">
        <f t="shared" si="60"/>
        <v>1.8710721700191684</v>
      </c>
      <c r="H66" s="1">
        <f t="shared" si="66"/>
        <v>0</v>
      </c>
      <c r="I66" s="1">
        <f t="shared" si="67"/>
        <v>3189.334133537143</v>
      </c>
      <c r="J66" s="1">
        <f t="shared" si="61"/>
        <v>2545.716861038729</v>
      </c>
      <c r="K66" s="1">
        <f t="shared" si="62"/>
        <v>0</v>
      </c>
    </row>
    <row r="67" spans="1:11" ht="12.75">
      <c r="A67">
        <f t="shared" si="68"/>
        <v>6</v>
      </c>
      <c r="B67">
        <f t="shared" si="58"/>
        <v>1735</v>
      </c>
      <c r="C67" s="15">
        <f t="shared" si="63"/>
        <v>1735.1469780701727</v>
      </c>
      <c r="D67" s="1">
        <f t="shared" si="59"/>
        <v>7.205476703443334</v>
      </c>
      <c r="E67" s="1">
        <f t="shared" si="64"/>
        <v>17.063657140955176</v>
      </c>
      <c r="F67" s="1">
        <f t="shared" si="65"/>
        <v>18.581248130746786</v>
      </c>
      <c r="G67" s="1">
        <f t="shared" si="60"/>
        <v>1.7903427614209446</v>
      </c>
      <c r="H67" s="1">
        <f t="shared" si="66"/>
        <v>0</v>
      </c>
      <c r="I67" s="1">
        <f t="shared" si="67"/>
        <v>2196.5459847198044</v>
      </c>
      <c r="J67" s="1">
        <f t="shared" si="61"/>
        <v>1946.958544644923</v>
      </c>
      <c r="K67" s="1">
        <f t="shared" si="62"/>
        <v>0</v>
      </c>
    </row>
    <row r="68" spans="1:11" ht="12.75">
      <c r="A68">
        <f t="shared" si="68"/>
        <v>7</v>
      </c>
      <c r="B68">
        <f t="shared" si="58"/>
        <v>1810</v>
      </c>
      <c r="C68" s="15">
        <f t="shared" si="63"/>
        <v>1808.0472511287699</v>
      </c>
      <c r="D68" s="1">
        <f t="shared" si="59"/>
        <v>5.32924837040382</v>
      </c>
      <c r="E68" s="1">
        <f t="shared" si="64"/>
        <v>13.006873691522749</v>
      </c>
      <c r="F68" s="1">
        <f t="shared" si="65"/>
        <v>10.903622809627858</v>
      </c>
      <c r="G68" s="1">
        <f t="shared" si="60"/>
        <v>1.7461264434810575</v>
      </c>
      <c r="H68" s="1">
        <f t="shared" si="66"/>
        <v>0</v>
      </c>
      <c r="I68" s="1">
        <f t="shared" si="67"/>
        <v>1354.5780625009882</v>
      </c>
      <c r="J68" s="1">
        <f t="shared" si="61"/>
        <v>1420.0444096725887</v>
      </c>
      <c r="K68" s="1">
        <f t="shared" si="62"/>
        <v>0</v>
      </c>
    </row>
    <row r="69" spans="1:11" ht="12.75">
      <c r="A69">
        <f t="shared" si="68"/>
        <v>8</v>
      </c>
      <c r="B69">
        <f t="shared" si="58"/>
        <v>1880</v>
      </c>
      <c r="C69" s="15">
        <f t="shared" si="63"/>
        <v>1877.3527926322104</v>
      </c>
      <c r="D69" s="1">
        <f t="shared" si="59"/>
        <v>3.5225524515809683</v>
      </c>
      <c r="E69" s="1">
        <f t="shared" si="64"/>
        <v>8.722898247702288</v>
      </c>
      <c r="F69" s="1">
        <f t="shared" si="65"/>
        <v>5.703277013506539</v>
      </c>
      <c r="G69" s="1">
        <f t="shared" si="60"/>
        <v>1.7221756131129131</v>
      </c>
      <c r="H69" s="1">
        <f t="shared" si="66"/>
        <v>0</v>
      </c>
      <c r="I69" s="1">
        <f t="shared" si="67"/>
        <v>755.6814831705242</v>
      </c>
      <c r="J69" s="1">
        <f t="shared" si="61"/>
        <v>930.6281830604318</v>
      </c>
      <c r="K69" s="1">
        <f t="shared" si="62"/>
        <v>0</v>
      </c>
    </row>
    <row r="70" spans="1:11" ht="12.75">
      <c r="A70">
        <f t="shared" si="68"/>
        <v>9</v>
      </c>
      <c r="B70">
        <f t="shared" si="58"/>
        <v>1947</v>
      </c>
      <c r="C70" s="15">
        <f t="shared" si="63"/>
        <v>1943.4192465602341</v>
      </c>
      <c r="D70" s="1">
        <f t="shared" si="59"/>
        <v>1.7527700414403808</v>
      </c>
      <c r="E70" s="1">
        <f t="shared" si="64"/>
        <v>5.132949312155885</v>
      </c>
      <c r="F70" s="1">
        <f t="shared" si="65"/>
        <v>2.3230977427910346</v>
      </c>
      <c r="G70" s="1">
        <f t="shared" si="60"/>
        <v>1.7085815753429507</v>
      </c>
      <c r="H70" s="1">
        <f t="shared" si="66"/>
        <v>0</v>
      </c>
      <c r="I70" s="1">
        <f t="shared" si="67"/>
        <v>376.7952880515866</v>
      </c>
      <c r="J70" s="1">
        <f t="shared" si="61"/>
        <v>460.8304227256371</v>
      </c>
      <c r="K70" s="1">
        <f t="shared" si="62"/>
        <v>0</v>
      </c>
    </row>
    <row r="71" spans="1:11" ht="12.75">
      <c r="A71">
        <f t="shared" si="68"/>
        <v>10</v>
      </c>
      <c r="B71">
        <f t="shared" si="58"/>
        <v>2010</v>
      </c>
      <c r="C71" s="15">
        <f t="shared" si="63"/>
        <v>2006.4139971588522</v>
      </c>
      <c r="D71" s="1">
        <f t="shared" si="59"/>
        <v>0</v>
      </c>
      <c r="E71" s="1">
        <f t="shared" si="64"/>
        <v>2.3230977427910346</v>
      </c>
      <c r="F71" s="1">
        <f t="shared" si="65"/>
        <v>0</v>
      </c>
      <c r="G71" s="1">
        <f t="shared" si="60"/>
        <v>1.7</v>
      </c>
      <c r="H71" s="1">
        <f t="shared" si="66"/>
        <v>0</v>
      </c>
      <c r="I71" s="1">
        <f t="shared" si="67"/>
        <v>146.3429629233339</v>
      </c>
      <c r="J71" s="1">
        <f t="shared" si="61"/>
        <v>0</v>
      </c>
      <c r="K71" s="1">
        <f t="shared" si="62"/>
        <v>0</v>
      </c>
    </row>
    <row r="72" spans="9:11" ht="12.75">
      <c r="I72" s="1">
        <f>SUM(I62:I71)</f>
        <v>21610.509416556542</v>
      </c>
      <c r="J72" s="1">
        <f>SUM(J61:J71)</f>
        <v>30762.011798221425</v>
      </c>
      <c r="K72" s="1">
        <f>(SUM(K61:K71))/$D$1</f>
        <v>2.4197637191477774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Hogeschool van Amsterdam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Hogeschool van Amsterdam</dc:creator>
  <cp:keywords/>
  <dc:description/>
  <cp:lastModifiedBy>Hogeschool van Amsterdam</cp:lastModifiedBy>
  <dcterms:created xsi:type="dcterms:W3CDTF">2008-09-17T19:56:58Z</dcterms:created>
  <dcterms:modified xsi:type="dcterms:W3CDTF">2009-06-03T10:23:57Z</dcterms:modified>
  <cp:category/>
  <cp:version/>
  <cp:contentType/>
  <cp:contentStatus/>
</cp:coreProperties>
</file>